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uzman\Desktop\2019\LM004\LM004_Hojas de calculo\"/>
    </mc:Choice>
  </mc:AlternateContent>
  <bookViews>
    <workbookView xWindow="0" yWindow="0" windowWidth="28800" windowHeight="12300" tabRatio="493"/>
  </bookViews>
  <sheets>
    <sheet name="Forma de citar" sheetId="2" r:id="rId1"/>
    <sheet name="Resumen_estructural" sheetId="1" r:id="rId2"/>
  </sheets>
  <definedNames>
    <definedName name="_xlnm._FilterDatabase" localSheetId="1" hidden="1">Resumen_estructural!$A$2:$AC$113</definedName>
  </definedNames>
  <calcPr calcId="162913"/>
</workbook>
</file>

<file path=xl/calcChain.xml><?xml version="1.0" encoding="utf-8"?>
<calcChain xmlns="http://schemas.openxmlformats.org/spreadsheetml/2006/main">
  <c r="AA58" i="1" l="1"/>
  <c r="AA101" i="1"/>
  <c r="AA45" i="1"/>
  <c r="AA70" i="1"/>
  <c r="AB109" i="1" l="1"/>
  <c r="AB108" i="1"/>
  <c r="AB107" i="1"/>
  <c r="AB106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75" i="1"/>
  <c r="AB68" i="1"/>
  <c r="AB67" i="1"/>
  <c r="AB60" i="1"/>
  <c r="AA96" i="1" l="1"/>
  <c r="AB96" i="1" s="1"/>
  <c r="AA63" i="1"/>
  <c r="AB113" i="1"/>
  <c r="AB112" i="1"/>
  <c r="AB56" i="1"/>
  <c r="AB111" i="1"/>
  <c r="AB104" i="1"/>
  <c r="AB103" i="1"/>
  <c r="AA47" i="1"/>
  <c r="AB99" i="1"/>
  <c r="AB98" i="1"/>
  <c r="AB97" i="1"/>
  <c r="AB95" i="1"/>
  <c r="AB28" i="1"/>
  <c r="AA28" i="1"/>
  <c r="AA82" i="1"/>
  <c r="AA16" i="1"/>
  <c r="AA77" i="1"/>
  <c r="AA11" i="1"/>
  <c r="AA69" i="1"/>
  <c r="AA66" i="1"/>
  <c r="AA62" i="1"/>
  <c r="AB62" i="1" s="1"/>
  <c r="AA61" i="1"/>
  <c r="AA12" i="1"/>
  <c r="AB73" i="1" l="1"/>
  <c r="AB72" i="1"/>
  <c r="AB71" i="1"/>
  <c r="Q10" i="1" l="1"/>
  <c r="Q9" i="1"/>
  <c r="Q4" i="1"/>
  <c r="V20" i="1" l="1"/>
  <c r="AA110" i="1"/>
  <c r="AB110" i="1" s="1"/>
  <c r="AA105" i="1"/>
  <c r="AA102" i="1"/>
  <c r="AB102" i="1" s="1"/>
  <c r="AA100" i="1"/>
  <c r="AA81" i="1"/>
  <c r="AA78" i="1"/>
  <c r="AA76" i="1"/>
  <c r="AA74" i="1"/>
  <c r="AA59" i="1"/>
  <c r="AA55" i="1"/>
  <c r="AA57" i="1"/>
  <c r="AA50" i="1"/>
  <c r="AB50" i="1" s="1"/>
  <c r="AA49" i="1"/>
  <c r="AA48" i="1"/>
  <c r="AA46" i="1"/>
  <c r="AA41" i="1"/>
  <c r="AA40" i="1"/>
  <c r="AA38" i="1"/>
  <c r="AA27" i="1"/>
  <c r="AA20" i="1"/>
  <c r="AA22" i="1"/>
  <c r="AA13" i="1"/>
  <c r="AA9" i="1"/>
  <c r="AA8" i="1"/>
  <c r="Y78" i="1"/>
  <c r="Y69" i="1"/>
  <c r="Y66" i="1"/>
  <c r="Y65" i="1"/>
  <c r="Y62" i="1"/>
  <c r="Y54" i="1"/>
  <c r="Y53" i="1"/>
  <c r="Y52" i="1"/>
  <c r="Y45" i="1"/>
  <c r="Y22" i="1"/>
  <c r="Z113" i="1"/>
  <c r="Z56" i="1"/>
  <c r="Z57" i="1"/>
  <c r="Z54" i="1"/>
  <c r="Z108" i="1"/>
  <c r="Z105" i="1"/>
  <c r="Z50" i="1"/>
  <c r="Z49" i="1"/>
  <c r="Z103" i="1"/>
  <c r="Z102" i="1"/>
  <c r="Z46" i="1"/>
  <c r="Z45" i="1"/>
  <c r="Z95" i="1"/>
  <c r="Z40" i="1"/>
  <c r="Z94" i="1" l="1"/>
  <c r="Z38" i="1"/>
  <c r="Z92" i="1"/>
  <c r="Z91" i="1"/>
  <c r="AB37" i="1"/>
  <c r="Z33" i="1"/>
  <c r="Z32" i="1"/>
  <c r="Z30" i="1"/>
  <c r="Z81" i="1"/>
  <c r="Z78" i="1"/>
  <c r="Z13" i="1"/>
  <c r="Z12" i="1"/>
  <c r="Z77" i="1"/>
  <c r="Z74" i="1"/>
  <c r="Z24" i="1"/>
  <c r="Z69" i="1"/>
  <c r="Z22" i="1"/>
  <c r="Z66" i="1"/>
  <c r="Z19" i="1"/>
  <c r="Z18" i="1"/>
  <c r="Z8" i="1"/>
  <c r="Z61" i="1"/>
  <c r="Z7" i="1"/>
  <c r="Z6" i="1"/>
  <c r="Z58" i="1"/>
  <c r="Z5" i="1"/>
  <c r="V19" i="1" l="1"/>
  <c r="V18" i="1"/>
  <c r="V64" i="1"/>
  <c r="U61" i="1" l="1"/>
  <c r="S61" i="1" l="1"/>
  <c r="T61" i="1" s="1"/>
  <c r="R61" i="1"/>
  <c r="V106" i="1" l="1"/>
  <c r="V105" i="1"/>
  <c r="V104" i="1"/>
  <c r="V103" i="1"/>
  <c r="V102" i="1"/>
  <c r="V101" i="1"/>
  <c r="V100" i="1"/>
  <c r="V99" i="1"/>
  <c r="V98" i="1"/>
  <c r="V97" i="1"/>
  <c r="U98" i="1"/>
  <c r="U97" i="1"/>
  <c r="U99" i="1"/>
  <c r="V95" i="1"/>
  <c r="V96" i="1"/>
  <c r="V91" i="1"/>
  <c r="R91" i="1"/>
  <c r="S91" i="1"/>
  <c r="U91" i="1"/>
  <c r="T91" i="1"/>
  <c r="V36" i="1"/>
  <c r="V37" i="1"/>
  <c r="V93" i="1"/>
  <c r="V92" i="1"/>
  <c r="U92" i="1"/>
  <c r="U93" i="1"/>
  <c r="W91" i="1" l="1"/>
  <c r="S34" i="1" l="1"/>
  <c r="T34" i="1" s="1"/>
  <c r="V31" i="1"/>
  <c r="V87" i="1"/>
  <c r="V86" i="1"/>
  <c r="V85" i="1"/>
  <c r="V84" i="1"/>
  <c r="V83" i="1"/>
  <c r="Q27" i="1"/>
  <c r="Q73" i="1"/>
  <c r="Q72" i="1"/>
  <c r="Q71" i="1"/>
  <c r="U68" i="1"/>
  <c r="U67" i="1"/>
  <c r="U66" i="1"/>
  <c r="V8" i="1"/>
  <c r="Q6" i="1" l="1"/>
  <c r="V78" i="1" l="1"/>
  <c r="U78" i="1"/>
  <c r="V77" i="1"/>
  <c r="U77" i="1"/>
  <c r="R77" i="1"/>
  <c r="S77" i="1"/>
  <c r="T77" i="1" s="1"/>
  <c r="V76" i="1"/>
  <c r="V75" i="1"/>
  <c r="V74" i="1"/>
  <c r="U76" i="1"/>
  <c r="U75" i="1"/>
  <c r="U74" i="1"/>
  <c r="S74" i="1"/>
  <c r="T74" i="1" s="1"/>
  <c r="R74" i="1"/>
  <c r="V81" i="1"/>
  <c r="U81" i="1"/>
  <c r="S81" i="1"/>
  <c r="T81" i="1" s="1"/>
  <c r="R81" i="1"/>
  <c r="V80" i="1"/>
  <c r="V79" i="1"/>
  <c r="V13" i="1"/>
  <c r="U13" i="1"/>
  <c r="V12" i="1"/>
  <c r="U12" i="1"/>
  <c r="V16" i="1"/>
  <c r="U16" i="1"/>
  <c r="V15" i="1"/>
  <c r="V14" i="1"/>
  <c r="V65" i="1"/>
  <c r="V63" i="1"/>
  <c r="U63" i="1"/>
  <c r="V70" i="1"/>
  <c r="V69" i="1"/>
  <c r="U70" i="1"/>
  <c r="U69" i="1"/>
  <c r="S69" i="1"/>
  <c r="T69" i="1" s="1"/>
  <c r="R69" i="1"/>
  <c r="V68" i="1" l="1"/>
  <c r="V67" i="1"/>
  <c r="V66" i="1"/>
  <c r="R66" i="1"/>
  <c r="S66" i="1"/>
  <c r="T66" i="1" s="1"/>
  <c r="V71" i="1"/>
  <c r="V73" i="1"/>
  <c r="V72" i="1"/>
  <c r="U73" i="1"/>
  <c r="S73" i="1"/>
  <c r="T73" i="1" s="1"/>
  <c r="R73" i="1"/>
  <c r="T19" i="1"/>
  <c r="S19" i="1"/>
  <c r="R19" i="1"/>
  <c r="U19" i="1"/>
  <c r="U18" i="1"/>
  <c r="V17" i="1"/>
  <c r="U17" i="1"/>
  <c r="V23" i="1"/>
  <c r="V22" i="1"/>
  <c r="V21" i="1"/>
  <c r="S20" i="1"/>
  <c r="R20" i="1"/>
  <c r="V26" i="1"/>
  <c r="V25" i="1"/>
  <c r="V24" i="1"/>
  <c r="U26" i="1"/>
  <c r="U25" i="1"/>
  <c r="U24" i="1"/>
  <c r="S24" i="1"/>
  <c r="T24" i="1" s="1"/>
  <c r="R24" i="1"/>
  <c r="V112" i="1"/>
  <c r="V113" i="1"/>
  <c r="Q113" i="1"/>
  <c r="V111" i="1"/>
  <c r="U111" i="1"/>
  <c r="S111" i="1"/>
  <c r="T111" i="1" s="1"/>
  <c r="R111" i="1"/>
  <c r="V110" i="1"/>
  <c r="V109" i="1"/>
  <c r="S108" i="1"/>
  <c r="T108" i="1" s="1"/>
  <c r="R108" i="1"/>
  <c r="V108" i="1"/>
  <c r="V107" i="1"/>
  <c r="U108" i="1"/>
  <c r="U107" i="1"/>
  <c r="V57" i="1"/>
  <c r="U57" i="1"/>
  <c r="V52" i="1"/>
  <c r="V51" i="1"/>
  <c r="V50" i="1"/>
  <c r="V49" i="1"/>
  <c r="U49" i="1"/>
  <c r="U50" i="1"/>
  <c r="S50" i="1"/>
  <c r="T50" i="1" s="1"/>
  <c r="R50" i="1"/>
  <c r="V94" i="1" l="1"/>
  <c r="U94" i="1"/>
  <c r="R90" i="1"/>
  <c r="V88" i="1"/>
  <c r="V89" i="1"/>
  <c r="V90" i="1"/>
  <c r="Q90" i="1"/>
  <c r="U90" i="1"/>
  <c r="U89" i="1"/>
  <c r="U88" i="1"/>
  <c r="S90" i="1"/>
  <c r="T90" i="1" s="1"/>
  <c r="V35" i="1"/>
  <c r="V34" i="1"/>
  <c r="V33" i="1"/>
  <c r="U33" i="1"/>
  <c r="V82" i="1"/>
  <c r="U82" i="1"/>
  <c r="U35" i="1"/>
  <c r="U34" i="1"/>
  <c r="S33" i="1"/>
  <c r="T33" i="1" s="1"/>
  <c r="R33" i="1"/>
  <c r="V32" i="1"/>
  <c r="V30" i="1"/>
  <c r="U27" i="1" l="1"/>
  <c r="V62" i="1"/>
  <c r="V61" i="1"/>
  <c r="V60" i="1"/>
  <c r="V59" i="1"/>
  <c r="V58" i="1"/>
  <c r="V7" i="1"/>
  <c r="V5" i="1"/>
  <c r="V6" i="1"/>
  <c r="U62" i="1"/>
  <c r="U60" i="1"/>
  <c r="U59" i="1"/>
  <c r="U58" i="1"/>
  <c r="S6" i="1"/>
  <c r="T6" i="1" s="1"/>
  <c r="S58" i="1"/>
  <c r="T58" i="1" s="1"/>
  <c r="R58" i="1"/>
  <c r="V4" i="1"/>
  <c r="U4" i="1"/>
  <c r="U5" i="1"/>
  <c r="U113" i="1" l="1"/>
  <c r="U112" i="1"/>
  <c r="U110" i="1"/>
  <c r="U109" i="1"/>
  <c r="U106" i="1"/>
  <c r="U105" i="1"/>
  <c r="U104" i="1"/>
  <c r="U103" i="1"/>
  <c r="U102" i="1"/>
  <c r="U101" i="1"/>
  <c r="U100" i="1"/>
  <c r="U96" i="1"/>
  <c r="U95" i="1"/>
  <c r="U87" i="1"/>
  <c r="U86" i="1"/>
  <c r="U85" i="1"/>
  <c r="U84" i="1"/>
  <c r="U83" i="1"/>
  <c r="U80" i="1"/>
  <c r="U79" i="1"/>
  <c r="U72" i="1"/>
  <c r="U71" i="1"/>
  <c r="U65" i="1"/>
  <c r="U64" i="1"/>
  <c r="U52" i="1"/>
  <c r="W58" i="1"/>
  <c r="W61" i="1"/>
  <c r="W77" i="1"/>
  <c r="W81" i="1"/>
  <c r="W111" i="1"/>
  <c r="T102" i="1"/>
  <c r="U41" i="1"/>
  <c r="Z112" i="1"/>
  <c r="S113" i="1"/>
  <c r="T113" i="1" s="1"/>
  <c r="S112" i="1"/>
  <c r="T112" i="1" s="1"/>
  <c r="R113" i="1"/>
  <c r="R112" i="1"/>
  <c r="Q112" i="1"/>
  <c r="Q111" i="1"/>
  <c r="X111" i="1" s="1"/>
  <c r="Q110" i="1"/>
  <c r="Z110" i="1"/>
  <c r="S110" i="1"/>
  <c r="T110" i="1" s="1"/>
  <c r="S109" i="1"/>
  <c r="T109" i="1" s="1"/>
  <c r="R110" i="1"/>
  <c r="R109" i="1"/>
  <c r="Q109" i="1"/>
  <c r="Q108" i="1"/>
  <c r="X108" i="1" s="1"/>
  <c r="Z59" i="1"/>
  <c r="Z60" i="1"/>
  <c r="Z62" i="1"/>
  <c r="Z63" i="1"/>
  <c r="Z64" i="1"/>
  <c r="Z65" i="1"/>
  <c r="Z80" i="1"/>
  <c r="Z83" i="1"/>
  <c r="Z85" i="1"/>
  <c r="Z86" i="1"/>
  <c r="Z88" i="1"/>
  <c r="Z89" i="1"/>
  <c r="Z97" i="1"/>
  <c r="Z100" i="1"/>
  <c r="Z106" i="1"/>
  <c r="S107" i="1"/>
  <c r="T107" i="1" s="1"/>
  <c r="R107" i="1"/>
  <c r="Q107" i="1"/>
  <c r="AB105" i="1"/>
  <c r="S106" i="1"/>
  <c r="T106" i="1" s="1"/>
  <c r="S105" i="1"/>
  <c r="T105" i="1" s="1"/>
  <c r="R106" i="1"/>
  <c r="R105" i="1"/>
  <c r="Q105" i="1"/>
  <c r="X105" i="1" s="1"/>
  <c r="Q106" i="1"/>
  <c r="Q104" i="1"/>
  <c r="Q103" i="1"/>
  <c r="S104" i="1"/>
  <c r="T104" i="1" s="1"/>
  <c r="S103" i="1"/>
  <c r="T103" i="1" s="1"/>
  <c r="S102" i="1"/>
  <c r="R104" i="1"/>
  <c r="R103" i="1"/>
  <c r="R102" i="1"/>
  <c r="Q102" i="1"/>
  <c r="X102" i="1" s="1"/>
  <c r="X112" i="1" l="1"/>
  <c r="X113" i="1"/>
  <c r="X104" i="1"/>
  <c r="X109" i="1"/>
  <c r="X107" i="1"/>
  <c r="W103" i="1"/>
  <c r="X106" i="1"/>
  <c r="X110" i="1"/>
  <c r="X103" i="1"/>
  <c r="W109" i="1"/>
  <c r="W102" i="1"/>
  <c r="W106" i="1"/>
  <c r="W110" i="1"/>
  <c r="W104" i="1"/>
  <c r="W108" i="1"/>
  <c r="W113" i="1"/>
  <c r="W107" i="1"/>
  <c r="W105" i="1"/>
  <c r="W112" i="1"/>
  <c r="Q101" i="1"/>
  <c r="AB101" i="1"/>
  <c r="AB100" i="1"/>
  <c r="S101" i="1"/>
  <c r="T101" i="1" s="1"/>
  <c r="W101" i="1" s="1"/>
  <c r="S100" i="1"/>
  <c r="T100" i="1" s="1"/>
  <c r="W100" i="1" s="1"/>
  <c r="R101" i="1"/>
  <c r="R100" i="1"/>
  <c r="Q100" i="1"/>
  <c r="X100" i="1" l="1"/>
  <c r="X101" i="1"/>
  <c r="Q99" i="1"/>
  <c r="Q98" i="1"/>
  <c r="S99" i="1"/>
  <c r="R99" i="1"/>
  <c r="S98" i="1"/>
  <c r="R98" i="1"/>
  <c r="S97" i="1"/>
  <c r="R97" i="1"/>
  <c r="Q97" i="1"/>
  <c r="Q96" i="1"/>
  <c r="X96" i="1" s="1"/>
  <c r="S96" i="1"/>
  <c r="T96" i="1" s="1"/>
  <c r="W96" i="1" s="1"/>
  <c r="R96" i="1"/>
  <c r="S95" i="1"/>
  <c r="R95" i="1"/>
  <c r="Q95" i="1"/>
  <c r="S94" i="1"/>
  <c r="T94" i="1" s="1"/>
  <c r="W94" i="1" s="1"/>
  <c r="R94" i="1"/>
  <c r="Q94" i="1"/>
  <c r="Q93" i="1"/>
  <c r="Q92" i="1"/>
  <c r="X92" i="1" s="1"/>
  <c r="S93" i="1"/>
  <c r="R93" i="1"/>
  <c r="S92" i="1"/>
  <c r="R92" i="1"/>
  <c r="Q91" i="1"/>
  <c r="X91" i="1" s="1"/>
  <c r="Q89" i="1"/>
  <c r="W90" i="1"/>
  <c r="S89" i="1"/>
  <c r="S88" i="1"/>
  <c r="T88" i="1" s="1"/>
  <c r="W88" i="1" s="1"/>
  <c r="R89" i="1"/>
  <c r="R88" i="1"/>
  <c r="Q88" i="1"/>
  <c r="Q87" i="1"/>
  <c r="Q86" i="1"/>
  <c r="X86" i="1" s="1"/>
  <c r="S87" i="1"/>
  <c r="T87" i="1" s="1"/>
  <c r="W87" i="1" s="1"/>
  <c r="S86" i="1"/>
  <c r="T86" i="1" s="1"/>
  <c r="W86" i="1" s="1"/>
  <c r="R87" i="1"/>
  <c r="R86" i="1"/>
  <c r="S85" i="1"/>
  <c r="T85" i="1" s="1"/>
  <c r="W85" i="1" s="1"/>
  <c r="R85" i="1"/>
  <c r="Q85" i="1"/>
  <c r="S84" i="1"/>
  <c r="T84" i="1" s="1"/>
  <c r="W84" i="1" s="1"/>
  <c r="R84" i="1"/>
  <c r="Q84" i="1"/>
  <c r="S83" i="1"/>
  <c r="R83" i="1"/>
  <c r="Q83" i="1"/>
  <c r="AB82" i="1"/>
  <c r="S82" i="1"/>
  <c r="T82" i="1" s="1"/>
  <c r="W82" i="1" s="1"/>
  <c r="R82" i="1"/>
  <c r="Q82" i="1"/>
  <c r="AB81" i="1"/>
  <c r="Q81" i="1"/>
  <c r="X81" i="1" s="1"/>
  <c r="Q80" i="1"/>
  <c r="AB80" i="1"/>
  <c r="AB79" i="1"/>
  <c r="S80" i="1"/>
  <c r="T80" i="1" s="1"/>
  <c r="W80" i="1" s="1"/>
  <c r="R80" i="1"/>
  <c r="S79" i="1"/>
  <c r="T79" i="1" s="1"/>
  <c r="W79" i="1" s="1"/>
  <c r="R79" i="1"/>
  <c r="Q79" i="1"/>
  <c r="AB78" i="1"/>
  <c r="S78" i="1"/>
  <c r="T78" i="1" s="1"/>
  <c r="W78" i="1" s="1"/>
  <c r="R78" i="1"/>
  <c r="Q78" i="1"/>
  <c r="X78" i="1" s="1"/>
  <c r="AB77" i="1"/>
  <c r="Q77" i="1"/>
  <c r="X77" i="1" s="1"/>
  <c r="Q76" i="1"/>
  <c r="Q75" i="1"/>
  <c r="AB76" i="1"/>
  <c r="AB74" i="1"/>
  <c r="S76" i="1"/>
  <c r="S75" i="1"/>
  <c r="W74" i="1"/>
  <c r="R76" i="1"/>
  <c r="R75" i="1"/>
  <c r="Q74" i="1"/>
  <c r="X74" i="1" s="1"/>
  <c r="W73" i="1"/>
  <c r="S72" i="1"/>
  <c r="S71" i="1"/>
  <c r="X71" i="1" s="1"/>
  <c r="R72" i="1"/>
  <c r="R71" i="1"/>
  <c r="AB70" i="1"/>
  <c r="S70" i="1"/>
  <c r="R70" i="1"/>
  <c r="Q70" i="1"/>
  <c r="AB69" i="1"/>
  <c r="W69" i="1"/>
  <c r="Q69" i="1"/>
  <c r="X98" i="1" l="1"/>
  <c r="X79" i="1"/>
  <c r="T75" i="1"/>
  <c r="W75" i="1" s="1"/>
  <c r="T83" i="1"/>
  <c r="W83" i="1" s="1"/>
  <c r="T93" i="1"/>
  <c r="W93" i="1" s="1"/>
  <c r="T95" i="1"/>
  <c r="W95" i="1" s="1"/>
  <c r="T98" i="1"/>
  <c r="W98" i="1" s="1"/>
  <c r="T71" i="1"/>
  <c r="W71" i="1" s="1"/>
  <c r="T76" i="1"/>
  <c r="W76" i="1" s="1"/>
  <c r="X88" i="1"/>
  <c r="T89" i="1"/>
  <c r="W89" i="1" s="1"/>
  <c r="T70" i="1"/>
  <c r="W70" i="1" s="1"/>
  <c r="X70" i="1"/>
  <c r="T72" i="1"/>
  <c r="W72" i="1" s="1"/>
  <c r="X82" i="1"/>
  <c r="X83" i="1"/>
  <c r="T92" i="1"/>
  <c r="W92" i="1" s="1"/>
  <c r="X93" i="1"/>
  <c r="T97" i="1"/>
  <c r="W97" i="1" s="1"/>
  <c r="T99" i="1"/>
  <c r="W99" i="1" s="1"/>
  <c r="X69" i="1"/>
  <c r="X72" i="1"/>
  <c r="X75" i="1"/>
  <c r="X85" i="1"/>
  <c r="X87" i="1"/>
  <c r="X89" i="1"/>
  <c r="X94" i="1"/>
  <c r="X97" i="1"/>
  <c r="X99" i="1"/>
  <c r="X73" i="1"/>
  <c r="X76" i="1"/>
  <c r="X80" i="1"/>
  <c r="X84" i="1"/>
  <c r="X90" i="1"/>
  <c r="X95" i="1"/>
  <c r="S68" i="1"/>
  <c r="R68" i="1"/>
  <c r="Q68" i="1"/>
  <c r="S67" i="1"/>
  <c r="R67" i="1"/>
  <c r="Q67" i="1"/>
  <c r="AB66" i="1"/>
  <c r="W66" i="1"/>
  <c r="Q66" i="1"/>
  <c r="X66" i="1" s="1"/>
  <c r="Q65" i="1"/>
  <c r="AB65" i="1"/>
  <c r="AB64" i="1"/>
  <c r="S65" i="1"/>
  <c r="T65" i="1" s="1"/>
  <c r="W65" i="1" s="1"/>
  <c r="S64" i="1"/>
  <c r="T64" i="1" s="1"/>
  <c r="W64" i="1" s="1"/>
  <c r="R65" i="1"/>
  <c r="R64" i="1"/>
  <c r="Q64" i="1"/>
  <c r="AB63" i="1"/>
  <c r="S63" i="1"/>
  <c r="T63" i="1" s="1"/>
  <c r="W63" i="1" s="1"/>
  <c r="R63" i="1"/>
  <c r="Q63" i="1"/>
  <c r="X63" i="1" s="1"/>
  <c r="S62" i="1"/>
  <c r="T62" i="1" s="1"/>
  <c r="W62" i="1" s="1"/>
  <c r="R62" i="1"/>
  <c r="Q62" i="1"/>
  <c r="AB61" i="1"/>
  <c r="Q61" i="1"/>
  <c r="X61" i="1" s="1"/>
  <c r="Q60" i="1"/>
  <c r="S59" i="1"/>
  <c r="T59" i="1" s="1"/>
  <c r="W59" i="1" s="1"/>
  <c r="R59" i="1"/>
  <c r="S60" i="1"/>
  <c r="T60" i="1" s="1"/>
  <c r="W60" i="1" s="1"/>
  <c r="R60" i="1"/>
  <c r="AB59" i="1"/>
  <c r="Q59" i="1"/>
  <c r="AB58" i="1"/>
  <c r="Q58" i="1"/>
  <c r="X65" i="1" l="1"/>
  <c r="T67" i="1"/>
  <c r="W67" i="1" s="1"/>
  <c r="T68" i="1"/>
  <c r="W68" i="1" s="1"/>
  <c r="X60" i="1"/>
  <c r="X64" i="1"/>
  <c r="X68" i="1"/>
  <c r="X58" i="1"/>
  <c r="X62" i="1"/>
  <c r="X67" i="1"/>
  <c r="X59" i="1"/>
  <c r="V3" i="1" l="1"/>
  <c r="AB5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30" i="1"/>
  <c r="AB31" i="1"/>
  <c r="AB32" i="1"/>
  <c r="AB33" i="1"/>
  <c r="AB34" i="1"/>
  <c r="AB35" i="1"/>
  <c r="AB36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1" i="1"/>
  <c r="AB52" i="1"/>
  <c r="AB53" i="1"/>
  <c r="AB54" i="1"/>
  <c r="AB55" i="1"/>
  <c r="AB57" i="1"/>
  <c r="AB3" i="1"/>
  <c r="AA6" i="1" l="1"/>
  <c r="AB6" i="1" s="1"/>
  <c r="AA4" i="1"/>
  <c r="AB4" i="1" s="1"/>
  <c r="Z55" i="1" l="1"/>
  <c r="Z52" i="1"/>
  <c r="Z47" i="1"/>
  <c r="Z44" i="1"/>
  <c r="Z41" i="1"/>
  <c r="Z36" i="1"/>
  <c r="Z34" i="1"/>
  <c r="Z31" i="1"/>
  <c r="Z28" i="1"/>
  <c r="Z17" i="1"/>
  <c r="Z16" i="1"/>
  <c r="Z15" i="1"/>
  <c r="R14" i="1"/>
  <c r="Z4" i="1"/>
  <c r="Z3" i="1"/>
  <c r="S57" i="1" l="1"/>
  <c r="T57" i="1" s="1"/>
  <c r="W57" i="1" s="1"/>
  <c r="R57" i="1"/>
  <c r="Q57" i="1"/>
  <c r="V56" i="1"/>
  <c r="V55" i="1"/>
  <c r="U56" i="1"/>
  <c r="U55" i="1"/>
  <c r="S56" i="1"/>
  <c r="T56" i="1" s="1"/>
  <c r="R56" i="1"/>
  <c r="Q54" i="1"/>
  <c r="Q56" i="1"/>
  <c r="S55" i="1"/>
  <c r="T55" i="1" s="1"/>
  <c r="R55" i="1"/>
  <c r="Q55" i="1"/>
  <c r="X56" i="1" l="1"/>
  <c r="X55" i="1"/>
  <c r="W55" i="1"/>
  <c r="X57" i="1"/>
  <c r="W56" i="1"/>
  <c r="V54" i="1" l="1"/>
  <c r="V53" i="1"/>
  <c r="U54" i="1"/>
  <c r="U53" i="1"/>
  <c r="S54" i="1"/>
  <c r="T54" i="1" s="1"/>
  <c r="S53" i="1"/>
  <c r="R54" i="1"/>
  <c r="R53" i="1"/>
  <c r="Q53" i="1"/>
  <c r="U51" i="1"/>
  <c r="S52" i="1"/>
  <c r="S51" i="1"/>
  <c r="T51" i="1" s="1"/>
  <c r="R52" i="1"/>
  <c r="R51" i="1"/>
  <c r="Q51" i="1"/>
  <c r="Q52" i="1"/>
  <c r="S49" i="1"/>
  <c r="T49" i="1" s="1"/>
  <c r="R49" i="1"/>
  <c r="Q49" i="1"/>
  <c r="Q50" i="1"/>
  <c r="V47" i="1"/>
  <c r="V48" i="1"/>
  <c r="V46" i="1"/>
  <c r="U48" i="1"/>
  <c r="U47" i="1"/>
  <c r="U46" i="1"/>
  <c r="S48" i="1"/>
  <c r="T48" i="1" s="1"/>
  <c r="R48" i="1"/>
  <c r="S47" i="1"/>
  <c r="T47" i="1" s="1"/>
  <c r="R47" i="1"/>
  <c r="S46" i="1"/>
  <c r="T46" i="1" s="1"/>
  <c r="R46" i="1"/>
  <c r="Q46" i="1"/>
  <c r="Q47" i="1"/>
  <c r="Q48" i="1"/>
  <c r="X48" i="1" s="1"/>
  <c r="V45" i="1"/>
  <c r="V44" i="1"/>
  <c r="U45" i="1"/>
  <c r="U44" i="1"/>
  <c r="S45" i="1"/>
  <c r="R45" i="1"/>
  <c r="S44" i="1"/>
  <c r="T44" i="1" s="1"/>
  <c r="R44" i="1"/>
  <c r="Q45" i="1"/>
  <c r="Q44" i="1"/>
  <c r="X52" i="1" l="1"/>
  <c r="W54" i="1"/>
  <c r="X49" i="1"/>
  <c r="X46" i="1"/>
  <c r="X54" i="1"/>
  <c r="X51" i="1"/>
  <c r="W47" i="1"/>
  <c r="W44" i="1"/>
  <c r="W49" i="1"/>
  <c r="X45" i="1"/>
  <c r="W51" i="1"/>
  <c r="X53" i="1"/>
  <c r="W46" i="1"/>
  <c r="X50" i="1"/>
  <c r="X47" i="1"/>
  <c r="W48" i="1"/>
  <c r="T45" i="1"/>
  <c r="W45" i="1" s="1"/>
  <c r="X44" i="1"/>
  <c r="W50" i="1"/>
  <c r="T52" i="1"/>
  <c r="W52" i="1" s="1"/>
  <c r="T53" i="1"/>
  <c r="W53" i="1" s="1"/>
  <c r="V42" i="1"/>
  <c r="V43" i="1"/>
  <c r="V41" i="1"/>
  <c r="U43" i="1"/>
  <c r="U42" i="1"/>
  <c r="S43" i="1"/>
  <c r="T43" i="1" s="1"/>
  <c r="R43" i="1"/>
  <c r="S42" i="1"/>
  <c r="T42" i="1" s="1"/>
  <c r="R42" i="1"/>
  <c r="S41" i="1"/>
  <c r="R41" i="1"/>
  <c r="Q43" i="1"/>
  <c r="Q42" i="1"/>
  <c r="Q41" i="1"/>
  <c r="V40" i="1"/>
  <c r="V39" i="1"/>
  <c r="U40" i="1"/>
  <c r="U39" i="1"/>
  <c r="S40" i="1"/>
  <c r="T40" i="1" s="1"/>
  <c r="R40" i="1"/>
  <c r="Q40" i="1"/>
  <c r="S39" i="1"/>
  <c r="R39" i="1"/>
  <c r="Q39" i="1"/>
  <c r="W38" i="1"/>
  <c r="S38" i="1"/>
  <c r="R38" i="1"/>
  <c r="Q38" i="1"/>
  <c r="W42" i="1" l="1"/>
  <c r="W40" i="1"/>
  <c r="W43" i="1"/>
  <c r="X43" i="1"/>
  <c r="X39" i="1"/>
  <c r="X41" i="1"/>
  <c r="X38" i="1"/>
  <c r="T41" i="1"/>
  <c r="W41" i="1" s="1"/>
  <c r="T39" i="1"/>
  <c r="W39" i="1" s="1"/>
  <c r="X40" i="1"/>
  <c r="X42" i="1"/>
  <c r="U37" i="1"/>
  <c r="U36" i="1"/>
  <c r="S37" i="1"/>
  <c r="T37" i="1" s="1"/>
  <c r="S36" i="1"/>
  <c r="T36" i="1" s="1"/>
  <c r="R37" i="1"/>
  <c r="R36" i="1"/>
  <c r="Q36" i="1"/>
  <c r="Q37" i="1"/>
  <c r="S35" i="1"/>
  <c r="T35" i="1" s="1"/>
  <c r="R35" i="1"/>
  <c r="Q35" i="1"/>
  <c r="R34" i="1"/>
  <c r="Q34" i="1"/>
  <c r="Q33" i="1"/>
  <c r="V29" i="1"/>
  <c r="U32" i="1"/>
  <c r="U31" i="1"/>
  <c r="U30" i="1"/>
  <c r="S32" i="1"/>
  <c r="T32" i="1" s="1"/>
  <c r="S31" i="1"/>
  <c r="T31" i="1" s="1"/>
  <c r="R32" i="1"/>
  <c r="R31" i="1"/>
  <c r="S30" i="1"/>
  <c r="R30" i="1"/>
  <c r="Q32" i="1"/>
  <c r="Q30" i="1"/>
  <c r="Q31" i="1"/>
  <c r="V28" i="1"/>
  <c r="U29" i="1"/>
  <c r="U28" i="1"/>
  <c r="Q29" i="1"/>
  <c r="R29" i="1"/>
  <c r="S29" i="1"/>
  <c r="T29" i="1" s="1"/>
  <c r="S28" i="1"/>
  <c r="T28" i="1" s="1"/>
  <c r="R28" i="1"/>
  <c r="Q28" i="1"/>
  <c r="S27" i="1"/>
  <c r="T27" i="1" s="1"/>
  <c r="W27" i="1" s="1"/>
  <c r="R27" i="1"/>
  <c r="S26" i="1"/>
  <c r="T26" i="1" s="1"/>
  <c r="S25" i="1"/>
  <c r="T25" i="1" s="1"/>
  <c r="R26" i="1"/>
  <c r="R25" i="1"/>
  <c r="Q24" i="1"/>
  <c r="Q25" i="1"/>
  <c r="Q26" i="1"/>
  <c r="U23" i="1"/>
  <c r="R23" i="1"/>
  <c r="Q23" i="1"/>
  <c r="U22" i="1"/>
  <c r="S23" i="1"/>
  <c r="T23" i="1" s="1"/>
  <c r="S22" i="1"/>
  <c r="R22" i="1"/>
  <c r="Q22" i="1"/>
  <c r="Q21" i="1"/>
  <c r="U21" i="1"/>
  <c r="U20" i="1"/>
  <c r="S21" i="1"/>
  <c r="T21" i="1" s="1"/>
  <c r="R21" i="1"/>
  <c r="T20" i="1"/>
  <c r="Q20" i="1"/>
  <c r="W37" i="1" l="1"/>
  <c r="X36" i="1"/>
  <c r="W29" i="1"/>
  <c r="W31" i="1"/>
  <c r="X27" i="1"/>
  <c r="X34" i="1"/>
  <c r="X28" i="1"/>
  <c r="W32" i="1"/>
  <c r="X20" i="1"/>
  <c r="X25" i="1"/>
  <c r="W33" i="1"/>
  <c r="W24" i="1"/>
  <c r="X37" i="1"/>
  <c r="X22" i="1"/>
  <c r="X29" i="1"/>
  <c r="W25" i="1"/>
  <c r="W20" i="1"/>
  <c r="W23" i="1"/>
  <c r="X30" i="1"/>
  <c r="X33" i="1"/>
  <c r="X35" i="1"/>
  <c r="W36" i="1"/>
  <c r="W34" i="1"/>
  <c r="W21" i="1"/>
  <c r="X23" i="1"/>
  <c r="X26" i="1"/>
  <c r="X24" i="1"/>
  <c r="X21" i="1"/>
  <c r="T22" i="1"/>
  <c r="W22" i="1" s="1"/>
  <c r="X32" i="1"/>
  <c r="W26" i="1"/>
  <c r="T30" i="1"/>
  <c r="W30" i="1" s="1"/>
  <c r="X31" i="1"/>
  <c r="W28" i="1"/>
  <c r="W35" i="1"/>
  <c r="R18" i="1"/>
  <c r="Q18" i="1"/>
  <c r="Q19" i="1"/>
  <c r="S18" i="1"/>
  <c r="T18" i="1" s="1"/>
  <c r="S17" i="1"/>
  <c r="T17" i="1" s="1"/>
  <c r="W17" i="1" s="1"/>
  <c r="R17" i="1"/>
  <c r="Q17" i="1"/>
  <c r="Q16" i="1"/>
  <c r="S16" i="1"/>
  <c r="T16" i="1" s="1"/>
  <c r="W16" i="1" s="1"/>
  <c r="R16" i="1"/>
  <c r="U15" i="1"/>
  <c r="U14" i="1"/>
  <c r="S15" i="1"/>
  <c r="T15" i="1" s="1"/>
  <c r="R15" i="1"/>
  <c r="Q15" i="1"/>
  <c r="S14" i="1"/>
  <c r="T14" i="1" s="1"/>
  <c r="Q14" i="1"/>
  <c r="Q13" i="1"/>
  <c r="S13" i="1"/>
  <c r="T13" i="1" s="1"/>
  <c r="W13" i="1" s="1"/>
  <c r="R13" i="1"/>
  <c r="S12" i="1"/>
  <c r="T12" i="1" s="1"/>
  <c r="W12" i="1" s="1"/>
  <c r="R12" i="1"/>
  <c r="Q12" i="1"/>
  <c r="V11" i="1"/>
  <c r="V10" i="1"/>
  <c r="V9" i="1"/>
  <c r="U11" i="1"/>
  <c r="U10" i="1"/>
  <c r="S9" i="1"/>
  <c r="T9" i="1" s="1"/>
  <c r="R9" i="1"/>
  <c r="U9" i="1"/>
  <c r="S11" i="1"/>
  <c r="T11" i="1" s="1"/>
  <c r="S10" i="1"/>
  <c r="R11" i="1"/>
  <c r="R10" i="1"/>
  <c r="Q11" i="1"/>
  <c r="X14" i="1" l="1"/>
  <c r="X18" i="1"/>
  <c r="X15" i="1"/>
  <c r="X19" i="1"/>
  <c r="W14" i="1"/>
  <c r="X16" i="1"/>
  <c r="X12" i="1"/>
  <c r="W11" i="1"/>
  <c r="X13" i="1"/>
  <c r="X17" i="1"/>
  <c r="W18" i="1"/>
  <c r="X10" i="1"/>
  <c r="W9" i="1"/>
  <c r="X11" i="1"/>
  <c r="W15" i="1"/>
  <c r="W19" i="1"/>
  <c r="X9" i="1"/>
  <c r="T10" i="1"/>
  <c r="W10" i="1" s="1"/>
  <c r="U8" i="1"/>
  <c r="S8" i="1"/>
  <c r="T8" i="1" s="1"/>
  <c r="R8" i="1"/>
  <c r="Q8" i="1"/>
  <c r="U7" i="1"/>
  <c r="S7" i="1"/>
  <c r="T7" i="1" s="1"/>
  <c r="R7" i="1"/>
  <c r="Q7" i="1"/>
  <c r="U6" i="1"/>
  <c r="W6" i="1" s="1"/>
  <c r="U3" i="1"/>
  <c r="S5" i="1"/>
  <c r="R6" i="1"/>
  <c r="R5" i="1"/>
  <c r="S4" i="1"/>
  <c r="Q5" i="1"/>
  <c r="R4" i="1"/>
  <c r="T4" i="1" l="1"/>
  <c r="W4" i="1" s="1"/>
  <c r="X4" i="1"/>
  <c r="X7" i="1"/>
  <c r="X6" i="1"/>
  <c r="X5" i="1"/>
  <c r="X8" i="1"/>
  <c r="W8" i="1"/>
  <c r="T5" i="1"/>
  <c r="W5" i="1" s="1"/>
  <c r="W7" i="1"/>
  <c r="S3" i="1" l="1"/>
  <c r="X3" i="1" s="1"/>
  <c r="R3" i="1"/>
  <c r="T3" i="1" l="1"/>
  <c r="W3" i="1" s="1"/>
</calcChain>
</file>

<file path=xl/comments1.xml><?xml version="1.0" encoding="utf-8"?>
<comments xmlns="http://schemas.openxmlformats.org/spreadsheetml/2006/main">
  <authors>
    <author>Ma. Teresa Rodriguez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>Ver archivo Diseño_parcelas.xls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solo el año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Rm (Rhizophora mangle)
Ag (Avicennia germinans)
Lr (Laguncularia racemosa)
Ce (Conocarpus erectus)
xx (asignar uno para cada especie diferente; en la columna de observaciones indicar el nombre completo de la especie diferente a manglar)</t>
        </r>
      </text>
    </comment>
  </commentList>
</comments>
</file>

<file path=xl/sharedStrings.xml><?xml version="1.0" encoding="utf-8"?>
<sst xmlns="http://schemas.openxmlformats.org/spreadsheetml/2006/main" count="718" uniqueCount="73">
  <si>
    <t>Estado</t>
  </si>
  <si>
    <t>Fecha de muestreo</t>
  </si>
  <si>
    <t>Sistema Lagunar</t>
  </si>
  <si>
    <t>Altura total promedio (m)</t>
  </si>
  <si>
    <t>Área basal (m2)</t>
  </si>
  <si>
    <t>Área basal (m2/ha)</t>
  </si>
  <si>
    <t>Densidad (indv/ha)</t>
  </si>
  <si>
    <t>Densidad relativa</t>
  </si>
  <si>
    <t>Frecuencia relativa</t>
  </si>
  <si>
    <t>Dominancia relativa</t>
  </si>
  <si>
    <t>Valor de importancia</t>
  </si>
  <si>
    <t>Indice de complejidad de Holdridge</t>
  </si>
  <si>
    <t>Procentaje de extracción de árbolado</t>
  </si>
  <si>
    <t>Porcentaje de mortalidad de arbolado</t>
  </si>
  <si>
    <t>Densidad de plantulas por m2</t>
  </si>
  <si>
    <t>Densidad de plantulas por ha</t>
  </si>
  <si>
    <t>Año</t>
  </si>
  <si>
    <t>Localidad</t>
  </si>
  <si>
    <t>Nombre del sitio</t>
  </si>
  <si>
    <t>Especie</t>
  </si>
  <si>
    <t>DAP promedio (cm)</t>
  </si>
  <si>
    <t xml:space="preserve">Desviación estandar (cm) 
del DAP promedio </t>
  </si>
  <si>
    <t xml:space="preserve">Desviación estandar (m) 
de la altura total promedio </t>
  </si>
  <si>
    <t>Altura del fuste limpio promedio (m)</t>
  </si>
  <si>
    <t xml:space="preserve">Desviación estandar (m) 
de la altura del fuste limpio </t>
  </si>
  <si>
    <t>Densidad (ind/unidad de área)</t>
  </si>
  <si>
    <t xml:space="preserve">Identificador de la parcela </t>
  </si>
  <si>
    <t>Resumen estructural de las parcelas de 20x20m</t>
  </si>
  <si>
    <t>Diámetro promedio 
de la copa (m)</t>
  </si>
  <si>
    <t>Altura promedio de plántulas</t>
  </si>
  <si>
    <t>Sinaloa</t>
  </si>
  <si>
    <t>Ag</t>
  </si>
  <si>
    <t>Agiabampo</t>
  </si>
  <si>
    <t>Agiabampo_3</t>
  </si>
  <si>
    <t>3</t>
  </si>
  <si>
    <t>Agiabampo_1</t>
  </si>
  <si>
    <t>Lr</t>
  </si>
  <si>
    <t>Agiabampo_2</t>
  </si>
  <si>
    <t>Agiabampo_4</t>
  </si>
  <si>
    <t>Agiabampo_5</t>
  </si>
  <si>
    <t>Santa María-La Reforma</t>
  </si>
  <si>
    <t>Rm</t>
  </si>
  <si>
    <t>Altamura</t>
  </si>
  <si>
    <t>Isla Talchichitle</t>
  </si>
  <si>
    <t>San Ignacio-Navachiste-Macapule</t>
  </si>
  <si>
    <t>Macapule</t>
  </si>
  <si>
    <t>Ceuta</t>
  </si>
  <si>
    <t>Estero de Urías</t>
  </si>
  <si>
    <t>Huizache-Caimanero</t>
  </si>
  <si>
    <t>Caimanero_4</t>
  </si>
  <si>
    <t>Caimanero_5</t>
  </si>
  <si>
    <t>NA</t>
  </si>
  <si>
    <t>San Ignacio_1</t>
  </si>
  <si>
    <t>San ignacio_2</t>
  </si>
  <si>
    <t>Navachiste_1</t>
  </si>
  <si>
    <t>Navachiste_2</t>
  </si>
  <si>
    <t>La Reforma_1</t>
  </si>
  <si>
    <t>La Reforma_2</t>
  </si>
  <si>
    <t>La Reforma_3</t>
  </si>
  <si>
    <t>Ceuta_1</t>
  </si>
  <si>
    <t>Ceuta_2</t>
  </si>
  <si>
    <t>Ceuta_3</t>
  </si>
  <si>
    <t>Ceuta_4</t>
  </si>
  <si>
    <t>Ceuta_5</t>
  </si>
  <si>
    <t>Urías_1</t>
  </si>
  <si>
    <t>Urías_2</t>
  </si>
  <si>
    <t>Urías_3</t>
  </si>
  <si>
    <t>Urías_4</t>
  </si>
  <si>
    <t>Urías_5</t>
  </si>
  <si>
    <t>Botadero_1</t>
  </si>
  <si>
    <t>Botadero_2</t>
  </si>
  <si>
    <t>Caimanero_3</t>
  </si>
  <si>
    <t>San Ignacio_2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</si>
</sst>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2" fontId="6" fillId="0" borderId="0" xfId="1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2" fontId="6" fillId="0" borderId="0" xfId="12" applyNumberFormat="1" applyFont="1" applyFill="1" applyAlignment="1">
      <alignment horizontal="center" vertical="top"/>
    </xf>
    <xf numFmtId="2" fontId="6" fillId="0" borderId="0" xfId="11" applyNumberFormat="1" applyFont="1" applyFill="1" applyAlignment="1">
      <alignment horizontal="center" vertical="top"/>
    </xf>
    <xf numFmtId="14" fontId="9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11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</cellXfs>
  <cellStyles count="13">
    <cellStyle name="Normal" xfId="0" builtinId="0"/>
    <cellStyle name="Normal 11" xfId="1"/>
    <cellStyle name="Normal 12" xfId="2"/>
    <cellStyle name="Normal 13" xfId="3"/>
    <cellStyle name="Normal 15" xfId="4"/>
    <cellStyle name="Normal 20" xfId="5"/>
    <cellStyle name="Normal 22" xfId="6"/>
    <cellStyle name="Normal 24" xfId="7"/>
    <cellStyle name="Normal 27" xfId="8"/>
    <cellStyle name="Normal 28" xfId="9"/>
    <cellStyle name="Normal_Hoja1" xfId="10"/>
    <cellStyle name="Normal_Resumen_estructural" xfId="11"/>
    <cellStyle name="Normal_Resumen_estructural_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LM004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95250</xdr:rowOff>
    </xdr:from>
    <xdr:to>
      <xdr:col>9</xdr:col>
      <xdr:colOff>276225</xdr:colOff>
      <xdr:row>9</xdr:row>
      <xdr:rowOff>161925</xdr:rowOff>
    </xdr:to>
    <xdr:sp macro="" textlink="">
      <xdr:nvSpPr>
        <xdr:cNvPr id="2" name="1 CuadroTexto"/>
        <xdr:cNvSpPr txBox="1"/>
      </xdr:nvSpPr>
      <xdr:spPr>
        <a:xfrm>
          <a:off x="1181100" y="857250"/>
          <a:ext cx="59531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Manzano Sarabia, M. M., F. Flores Cárdenas, O. G. Millán Aguilar, L. E. Rodríguez Arredondo, J. L. López Magaña, Hurtado Oliva, M. A. y M. I. Grano Maldonado. 2019. Impacto de la variabilidad climática en la estructura de manglares de Sinaloa. Universidad Autónoma de Sinaloa. Facultad de Ciencias de Mar.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cálculo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SNIB-CONABIO. Proyecto No. LM004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Ciudad de México.</a:t>
          </a:r>
          <a:endParaRPr lang="es-MX" sz="1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590550</xdr:colOff>
      <xdr:row>15</xdr:row>
      <xdr:rowOff>0</xdr:rowOff>
    </xdr:from>
    <xdr:to>
      <xdr:col>6</xdr:col>
      <xdr:colOff>200025</xdr:colOff>
      <xdr:row>16</xdr:row>
      <xdr:rowOff>171450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2876550" y="2857500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5"/>
  <sheetViews>
    <sheetView zoomScale="70" zoomScaleNormal="70" workbookViewId="0">
      <selection activeCell="O6" sqref="O6"/>
    </sheetView>
  </sheetViews>
  <sheetFormatPr baseColWidth="10" defaultColWidth="11.42578125" defaultRowHeight="15.75" x14ac:dyDescent="0.25"/>
  <cols>
    <col min="1" max="1" width="23.28515625" style="2" customWidth="1"/>
    <col min="2" max="2" width="17.7109375" style="2" customWidth="1"/>
    <col min="3" max="3" width="36.5703125" style="2" customWidth="1"/>
    <col min="4" max="4" width="17.7109375" style="2" customWidth="1"/>
    <col min="5" max="5" width="25.7109375" style="2" customWidth="1"/>
    <col min="6" max="6" width="11.7109375" style="2" customWidth="1"/>
    <col min="7" max="7" width="25.42578125" style="2" customWidth="1"/>
    <col min="8" max="8" width="18" style="2" customWidth="1"/>
    <col min="9" max="9" width="17.7109375" style="2" customWidth="1"/>
    <col min="10" max="10" width="24.5703125" style="2" customWidth="1"/>
    <col min="11" max="11" width="18.28515625" style="2" customWidth="1"/>
    <col min="12" max="12" width="26" style="2" customWidth="1"/>
    <col min="13" max="13" width="31.28515625" style="2" customWidth="1"/>
    <col min="14" max="15" width="25.7109375" style="2" customWidth="1"/>
    <col min="16" max="16" width="15.28515625" style="2" customWidth="1"/>
    <col min="17" max="18" width="20.28515625" style="2" customWidth="1"/>
    <col min="19" max="19" width="19.28515625" style="2" customWidth="1"/>
    <col min="20" max="20" width="16" style="2" customWidth="1"/>
    <col min="21" max="21" width="20.5703125" style="2" customWidth="1"/>
    <col min="22" max="22" width="19.140625" style="2" customWidth="1"/>
    <col min="23" max="23" width="19.28515625" style="2" customWidth="1"/>
    <col min="24" max="24" width="26.140625" style="2" customWidth="1"/>
    <col min="25" max="25" width="21.7109375" style="2" customWidth="1"/>
    <col min="26" max="26" width="24.5703125" style="2" customWidth="1"/>
    <col min="27" max="27" width="19.28515625" style="2" customWidth="1"/>
    <col min="28" max="28" width="21.42578125" style="2" customWidth="1"/>
    <col min="29" max="29" width="19.140625" style="2" customWidth="1"/>
    <col min="30" max="16384" width="11.42578125" style="2"/>
  </cols>
  <sheetData>
    <row r="1" spans="1:29" x14ac:dyDescent="0.25">
      <c r="A1" s="24" t="s">
        <v>27</v>
      </c>
      <c r="B1" s="3"/>
      <c r="C1" s="3"/>
      <c r="D1" s="3"/>
    </row>
    <row r="2" spans="1:29" s="23" customFormat="1" ht="46.5" customHeight="1" x14ac:dyDescent="0.25">
      <c r="A2" s="16" t="s">
        <v>26</v>
      </c>
      <c r="B2" s="20" t="s">
        <v>0</v>
      </c>
      <c r="C2" s="20" t="s">
        <v>17</v>
      </c>
      <c r="D2" s="20" t="s">
        <v>18</v>
      </c>
      <c r="E2" s="21" t="s">
        <v>2</v>
      </c>
      <c r="F2" s="21" t="s">
        <v>16</v>
      </c>
      <c r="G2" s="21" t="s">
        <v>1</v>
      </c>
      <c r="H2" s="21" t="s">
        <v>19</v>
      </c>
      <c r="I2" s="16" t="s">
        <v>20</v>
      </c>
      <c r="J2" s="16" t="s">
        <v>21</v>
      </c>
      <c r="K2" s="16" t="s">
        <v>3</v>
      </c>
      <c r="L2" s="16" t="s">
        <v>22</v>
      </c>
      <c r="M2" s="16" t="s">
        <v>23</v>
      </c>
      <c r="N2" s="16" t="s">
        <v>24</v>
      </c>
      <c r="O2" s="16" t="s">
        <v>28</v>
      </c>
      <c r="P2" s="16" t="s">
        <v>4</v>
      </c>
      <c r="Q2" s="16" t="s">
        <v>5</v>
      </c>
      <c r="R2" s="16" t="s">
        <v>25</v>
      </c>
      <c r="S2" s="16" t="s">
        <v>6</v>
      </c>
      <c r="T2" s="16" t="s">
        <v>7</v>
      </c>
      <c r="U2" s="16" t="s">
        <v>8</v>
      </c>
      <c r="V2" s="22" t="s">
        <v>9</v>
      </c>
      <c r="W2" s="16" t="s">
        <v>10</v>
      </c>
      <c r="X2" s="16" t="s">
        <v>11</v>
      </c>
      <c r="Y2" s="16" t="s">
        <v>12</v>
      </c>
      <c r="Z2" s="16" t="s">
        <v>13</v>
      </c>
      <c r="AA2" s="16" t="s">
        <v>14</v>
      </c>
      <c r="AB2" s="16" t="s">
        <v>15</v>
      </c>
      <c r="AC2" s="16" t="s">
        <v>29</v>
      </c>
    </row>
    <row r="3" spans="1:29" ht="15.75" customHeight="1" x14ac:dyDescent="0.25">
      <c r="A3" s="4" t="s">
        <v>34</v>
      </c>
      <c r="B3" s="2" t="s">
        <v>30</v>
      </c>
      <c r="C3" s="2" t="s">
        <v>32</v>
      </c>
      <c r="D3" s="2" t="s">
        <v>33</v>
      </c>
      <c r="E3" s="2" t="s">
        <v>32</v>
      </c>
      <c r="F3" s="2">
        <v>2015</v>
      </c>
      <c r="G3" s="5">
        <v>42087</v>
      </c>
      <c r="H3" s="5" t="s">
        <v>31</v>
      </c>
      <c r="I3" s="1">
        <v>7.3887323943661949</v>
      </c>
      <c r="J3" s="1">
        <v>3.4270165823841032</v>
      </c>
      <c r="K3" s="1">
        <v>3.7669014084507042</v>
      </c>
      <c r="L3" s="1">
        <v>1.1536570319136024</v>
      </c>
      <c r="M3" s="1">
        <v>1.2685915492957744</v>
      </c>
      <c r="N3" s="1">
        <v>0.42782271286346063</v>
      </c>
      <c r="O3" s="17">
        <v>1.49</v>
      </c>
      <c r="P3" s="7">
        <v>0.36899999999999999</v>
      </c>
      <c r="Q3" s="7">
        <v>9.2200000000000006</v>
      </c>
      <c r="R3" s="2">
        <f>71/400</f>
        <v>0.17749999999999999</v>
      </c>
      <c r="S3" s="2">
        <f>71/0.04</f>
        <v>1775</v>
      </c>
      <c r="T3" s="9">
        <f>(S3/1775)*100</f>
        <v>100</v>
      </c>
      <c r="U3" s="9">
        <f>(71/71)*100</f>
        <v>100</v>
      </c>
      <c r="V3" s="2">
        <f>(P3/0.369)*100</f>
        <v>100</v>
      </c>
      <c r="W3" s="2">
        <f>T3+U3+V3</f>
        <v>300</v>
      </c>
      <c r="X3" s="7">
        <f>1*S3*Q3*K3/10000</f>
        <v>6.1647225000000008</v>
      </c>
      <c r="Y3" s="2">
        <v>0</v>
      </c>
      <c r="Z3" s="8">
        <f>(3*100)/74</f>
        <v>4.0540540540540544</v>
      </c>
      <c r="AA3" s="2">
        <v>0</v>
      </c>
      <c r="AB3" s="2">
        <f>AA3*10000</f>
        <v>0</v>
      </c>
      <c r="AC3" s="2" t="s">
        <v>51</v>
      </c>
    </row>
    <row r="4" spans="1:29" ht="15.75" customHeight="1" x14ac:dyDescent="0.25">
      <c r="A4" s="9">
        <v>1</v>
      </c>
      <c r="B4" s="2" t="s">
        <v>30</v>
      </c>
      <c r="C4" s="2" t="s">
        <v>32</v>
      </c>
      <c r="D4" s="2" t="s">
        <v>35</v>
      </c>
      <c r="E4" s="2" t="s">
        <v>32</v>
      </c>
      <c r="F4" s="2">
        <v>2016</v>
      </c>
      <c r="G4" s="5">
        <v>42486</v>
      </c>
      <c r="H4" s="5" t="s">
        <v>31</v>
      </c>
      <c r="I4" s="7">
        <v>6.06</v>
      </c>
      <c r="J4" s="10">
        <v>2.97</v>
      </c>
      <c r="K4" s="7">
        <v>4.0170000000000003</v>
      </c>
      <c r="L4" s="10">
        <v>1.6</v>
      </c>
      <c r="M4" s="7">
        <v>0.67</v>
      </c>
      <c r="N4" s="7">
        <v>0.318</v>
      </c>
      <c r="O4" s="7">
        <v>1.67</v>
      </c>
      <c r="P4" s="7">
        <v>0.25000381560000001</v>
      </c>
      <c r="Q4" s="7">
        <f>P4/0.04</f>
        <v>6.2500953900000003</v>
      </c>
      <c r="R4" s="2">
        <f>70/400</f>
        <v>0.17499999999999999</v>
      </c>
      <c r="S4" s="2">
        <f>70/0.04</f>
        <v>1750</v>
      </c>
      <c r="T4" s="7">
        <f>(S4/1800)*100</f>
        <v>97.222222222222214</v>
      </c>
      <c r="U4" s="7">
        <f>(70/72)*100</f>
        <v>97.222222222222214</v>
      </c>
      <c r="V4" s="8">
        <f>(P4/0.258147628)*100</f>
        <v>96.845288696590302</v>
      </c>
      <c r="W4" s="7">
        <f>T4+U4+V4</f>
        <v>291.28973314103473</v>
      </c>
      <c r="X4" s="7">
        <f>1*S4*Q4*K4/10000</f>
        <v>4.3936608067852507</v>
      </c>
      <c r="Y4" s="2">
        <v>0</v>
      </c>
      <c r="Z4" s="8">
        <f>(7*100)/77</f>
        <v>9.0909090909090917</v>
      </c>
      <c r="AA4" s="2">
        <f>8/4</f>
        <v>2</v>
      </c>
      <c r="AB4" s="2">
        <f t="shared" ref="AB4:AB68" si="0">AA4*10000</f>
        <v>20000</v>
      </c>
      <c r="AC4" s="2" t="s">
        <v>51</v>
      </c>
    </row>
    <row r="5" spans="1:29" ht="15.75" customHeight="1" x14ac:dyDescent="0.25">
      <c r="A5" s="9">
        <v>1</v>
      </c>
      <c r="B5" s="2" t="s">
        <v>30</v>
      </c>
      <c r="C5" s="2" t="s">
        <v>32</v>
      </c>
      <c r="D5" s="2" t="s">
        <v>35</v>
      </c>
      <c r="E5" s="2" t="s">
        <v>32</v>
      </c>
      <c r="F5" s="2">
        <v>2016</v>
      </c>
      <c r="G5" s="5">
        <v>42486</v>
      </c>
      <c r="H5" s="5" t="s">
        <v>36</v>
      </c>
      <c r="I5" s="7">
        <v>7.15</v>
      </c>
      <c r="J5" s="10">
        <v>1.202</v>
      </c>
      <c r="K5" s="7">
        <v>5</v>
      </c>
      <c r="L5" s="10">
        <v>1.4139999999999999</v>
      </c>
      <c r="M5" s="7">
        <v>0.55000000000000004</v>
      </c>
      <c r="N5" s="7">
        <v>7.0699999999999999E-2</v>
      </c>
      <c r="O5" s="7">
        <v>2.33</v>
      </c>
      <c r="P5" s="7">
        <v>8.1438125999999996E-3</v>
      </c>
      <c r="Q5" s="7">
        <f t="shared" ref="Q5:Q8" si="1">P5/0.04</f>
        <v>0.203595315</v>
      </c>
      <c r="R5" s="6">
        <f>2/400</f>
        <v>5.0000000000000001E-3</v>
      </c>
      <c r="S5" s="2">
        <f>2/0.04</f>
        <v>50</v>
      </c>
      <c r="T5" s="7">
        <f>(S5/1800)*100</f>
        <v>2.7777777777777777</v>
      </c>
      <c r="U5" s="7">
        <f>(2/72)*100</f>
        <v>2.7777777777777777</v>
      </c>
      <c r="V5" s="8">
        <f>(P5/0.258147628)*100</f>
        <v>3.1547113808847387</v>
      </c>
      <c r="W5" s="7">
        <f t="shared" ref="W5:W7" si="2">T5+U5+V5</f>
        <v>8.7102669364402949</v>
      </c>
      <c r="X5" s="7">
        <f t="shared" ref="X5:X6" si="3">1*S5*Q5*K5/10000</f>
        <v>5.089882875E-3</v>
      </c>
      <c r="Y5" s="2">
        <v>0</v>
      </c>
      <c r="Z5" s="9">
        <f>(0*100)/77</f>
        <v>0</v>
      </c>
      <c r="AA5" s="2">
        <v>0</v>
      </c>
      <c r="AB5" s="2">
        <f t="shared" si="0"/>
        <v>0</v>
      </c>
      <c r="AC5" s="2" t="s">
        <v>51</v>
      </c>
    </row>
    <row r="6" spans="1:29" ht="15.75" customHeight="1" x14ac:dyDescent="0.25">
      <c r="A6" s="9">
        <v>2</v>
      </c>
      <c r="B6" s="2" t="s">
        <v>30</v>
      </c>
      <c r="C6" s="2" t="s">
        <v>32</v>
      </c>
      <c r="D6" s="2" t="s">
        <v>37</v>
      </c>
      <c r="E6" s="2" t="s">
        <v>32</v>
      </c>
      <c r="F6" s="2">
        <v>2016</v>
      </c>
      <c r="G6" s="5">
        <v>42489</v>
      </c>
      <c r="H6" s="5" t="s">
        <v>31</v>
      </c>
      <c r="I6" s="13">
        <v>4.0458904109589007</v>
      </c>
      <c r="J6" s="13">
        <v>1.3164281198774084</v>
      </c>
      <c r="K6" s="13">
        <v>1.7832191780821924</v>
      </c>
      <c r="L6" s="13">
        <v>0.51915971222936619</v>
      </c>
      <c r="M6" s="13">
        <v>0.47054794520547966</v>
      </c>
      <c r="N6" s="13">
        <v>1.4714134798620975</v>
      </c>
      <c r="O6" s="13">
        <v>1.03</v>
      </c>
      <c r="P6" s="7">
        <v>0.2074390626</v>
      </c>
      <c r="Q6" s="7">
        <f t="shared" si="1"/>
        <v>5.1859765649999998</v>
      </c>
      <c r="R6" s="2">
        <f>146/400</f>
        <v>0.36499999999999999</v>
      </c>
      <c r="S6" s="2">
        <f>146/0.04</f>
        <v>3650</v>
      </c>
      <c r="T6" s="9">
        <f>(S6/3650)*100</f>
        <v>100</v>
      </c>
      <c r="U6" s="9">
        <f>(146/146)*100</f>
        <v>100</v>
      </c>
      <c r="V6" s="9">
        <f>(P6/0.2074390626)*100</f>
        <v>100</v>
      </c>
      <c r="W6" s="9">
        <f>T6+U6+V6</f>
        <v>300</v>
      </c>
      <c r="X6" s="7">
        <f t="shared" si="3"/>
        <v>3.3754224967443762</v>
      </c>
      <c r="Y6" s="2">
        <v>0</v>
      </c>
      <c r="Z6" s="8">
        <f>(1*100)/147</f>
        <v>0.68027210884353739</v>
      </c>
      <c r="AA6" s="2">
        <f>5/4</f>
        <v>1.25</v>
      </c>
      <c r="AB6" s="2">
        <f t="shared" si="0"/>
        <v>12500</v>
      </c>
      <c r="AC6" s="2" t="s">
        <v>51</v>
      </c>
    </row>
    <row r="7" spans="1:29" ht="15.75" customHeight="1" x14ac:dyDescent="0.25">
      <c r="A7" s="9">
        <v>5</v>
      </c>
      <c r="B7" s="2" t="s">
        <v>30</v>
      </c>
      <c r="C7" s="2" t="s">
        <v>32</v>
      </c>
      <c r="D7" s="2" t="s">
        <v>39</v>
      </c>
      <c r="E7" s="2" t="s">
        <v>32</v>
      </c>
      <c r="F7" s="2">
        <v>2016</v>
      </c>
      <c r="G7" s="5">
        <v>42488</v>
      </c>
      <c r="H7" s="5" t="s">
        <v>31</v>
      </c>
      <c r="I7" s="13">
        <v>7.0054945054945055</v>
      </c>
      <c r="J7" s="13">
        <v>4.369117954140366</v>
      </c>
      <c r="K7" s="13">
        <v>5.5439560439560465</v>
      </c>
      <c r="L7" s="13">
        <v>2.3542495285102731</v>
      </c>
      <c r="M7" s="13">
        <v>0.76307692307692288</v>
      </c>
      <c r="N7" s="13">
        <v>0.48750542403294189</v>
      </c>
      <c r="O7" s="13">
        <v>1.78</v>
      </c>
      <c r="P7" s="7">
        <v>0.48569371620000001</v>
      </c>
      <c r="Q7" s="7">
        <f t="shared" si="1"/>
        <v>12.142342905</v>
      </c>
      <c r="R7" s="11">
        <f>91/400</f>
        <v>0.22750000000000001</v>
      </c>
      <c r="S7" s="2">
        <f>91/0.04</f>
        <v>2275</v>
      </c>
      <c r="T7" s="9">
        <f>(S7/2275)*100</f>
        <v>100</v>
      </c>
      <c r="U7" s="9">
        <f>(91/91)*100</f>
        <v>100</v>
      </c>
      <c r="V7" s="9">
        <f>(P7/0.4856937162)*100</f>
        <v>100</v>
      </c>
      <c r="W7" s="9">
        <f t="shared" si="2"/>
        <v>300</v>
      </c>
      <c r="X7" s="7">
        <f>1*S7*Q7*K7/10000</f>
        <v>15.314529988931255</v>
      </c>
      <c r="Y7" s="2">
        <v>0</v>
      </c>
      <c r="Z7" s="8">
        <f>(1*100)/92</f>
        <v>1.0869565217391304</v>
      </c>
      <c r="AA7" s="2">
        <v>0</v>
      </c>
      <c r="AB7" s="2">
        <f t="shared" si="0"/>
        <v>0</v>
      </c>
      <c r="AC7" s="2" t="s">
        <v>51</v>
      </c>
    </row>
    <row r="8" spans="1:29" ht="15.75" customHeight="1" x14ac:dyDescent="0.25">
      <c r="A8" s="9">
        <v>4</v>
      </c>
      <c r="B8" s="2" t="s">
        <v>30</v>
      </c>
      <c r="C8" s="2" t="s">
        <v>32</v>
      </c>
      <c r="D8" s="2" t="s">
        <v>38</v>
      </c>
      <c r="E8" s="2" t="s">
        <v>32</v>
      </c>
      <c r="F8" s="2">
        <v>2016</v>
      </c>
      <c r="G8" s="5">
        <v>42487</v>
      </c>
      <c r="H8" s="5" t="s">
        <v>31</v>
      </c>
      <c r="I8" s="13">
        <v>5.173043478260869</v>
      </c>
      <c r="J8" s="13">
        <v>2.5981545994521693</v>
      </c>
      <c r="K8" s="13">
        <v>3.8339130434782605</v>
      </c>
      <c r="L8" s="18">
        <v>1.3877842339829105</v>
      </c>
      <c r="M8" s="13">
        <v>0.69113043478260849</v>
      </c>
      <c r="N8" s="13">
        <v>0.36181017902284912</v>
      </c>
      <c r="O8" s="13">
        <v>1.24</v>
      </c>
      <c r="P8" s="7">
        <v>0.30209999999999998</v>
      </c>
      <c r="Q8" s="7">
        <f t="shared" si="1"/>
        <v>7.5524999999999993</v>
      </c>
      <c r="R8" s="2">
        <f>115/400</f>
        <v>0.28749999999999998</v>
      </c>
      <c r="S8" s="2">
        <f>115/0.04</f>
        <v>2875</v>
      </c>
      <c r="T8" s="9">
        <f>(S8/2875)*100</f>
        <v>100</v>
      </c>
      <c r="U8" s="9">
        <f>(115/115)*100</f>
        <v>100</v>
      </c>
      <c r="V8" s="9">
        <f>(P8/P8)*100</f>
        <v>100</v>
      </c>
      <c r="W8" s="9">
        <f>T8+U8+V8</f>
        <v>300</v>
      </c>
      <c r="X8" s="7">
        <f>1*S8*Q8*K8/10000</f>
        <v>8.3247431249999977</v>
      </c>
      <c r="Y8" s="2">
        <v>0</v>
      </c>
      <c r="Z8" s="8">
        <f>(3*100)/118</f>
        <v>2.5423728813559321</v>
      </c>
      <c r="AA8" s="2">
        <f>8/4</f>
        <v>2</v>
      </c>
      <c r="AB8" s="2">
        <f t="shared" si="0"/>
        <v>20000</v>
      </c>
      <c r="AC8" s="2" t="s">
        <v>51</v>
      </c>
    </row>
    <row r="9" spans="1:29" ht="15.75" customHeight="1" x14ac:dyDescent="0.25">
      <c r="A9" s="9">
        <v>11</v>
      </c>
      <c r="B9" s="2" t="s">
        <v>30</v>
      </c>
      <c r="C9" s="2" t="s">
        <v>40</v>
      </c>
      <c r="D9" s="2" t="s">
        <v>56</v>
      </c>
      <c r="E9" s="2" t="s">
        <v>40</v>
      </c>
      <c r="F9" s="2">
        <v>2016</v>
      </c>
      <c r="G9" s="5">
        <v>42517</v>
      </c>
      <c r="H9" s="5" t="s">
        <v>31</v>
      </c>
      <c r="I9" s="7">
        <v>4.4800000000000004</v>
      </c>
      <c r="J9" s="10">
        <v>1.58842708</v>
      </c>
      <c r="K9" s="13">
        <v>4.1654929577464799</v>
      </c>
      <c r="L9" s="13">
        <v>1.6840109909619212</v>
      </c>
      <c r="M9" s="13">
        <v>0.99957746478873288</v>
      </c>
      <c r="N9" s="13">
        <v>0.5123411336395497</v>
      </c>
      <c r="O9" s="13">
        <v>1.37</v>
      </c>
      <c r="P9" s="7">
        <v>0.25251238320000008</v>
      </c>
      <c r="Q9" s="7">
        <f>P9/0.04</f>
        <v>6.3128095800000015</v>
      </c>
      <c r="R9" s="11">
        <f>142/400</f>
        <v>0.35499999999999998</v>
      </c>
      <c r="S9" s="2">
        <f>142/0.04</f>
        <v>3550</v>
      </c>
      <c r="T9" s="7">
        <f>(S9/4000)*100</f>
        <v>88.75</v>
      </c>
      <c r="U9" s="7">
        <f>(142/160)*100</f>
        <v>88.75</v>
      </c>
      <c r="V9" s="7">
        <f>(P9/0.2886777)*100</f>
        <v>87.472078099555347</v>
      </c>
      <c r="W9" s="7">
        <f>T9+U9+V9</f>
        <v>264.97207809955535</v>
      </c>
      <c r="X9" s="7">
        <f t="shared" ref="X9:X11" si="4">1*S9*Q9*K9/10000</f>
        <v>9.335067166425004</v>
      </c>
      <c r="Y9" s="2">
        <v>0</v>
      </c>
      <c r="Z9" s="9">
        <v>0</v>
      </c>
      <c r="AA9" s="2">
        <f>9/4</f>
        <v>2.25</v>
      </c>
      <c r="AB9" s="2">
        <f t="shared" si="0"/>
        <v>22500</v>
      </c>
      <c r="AC9" s="2" t="s">
        <v>51</v>
      </c>
    </row>
    <row r="10" spans="1:29" ht="15.75" customHeight="1" x14ac:dyDescent="0.25">
      <c r="A10" s="9">
        <v>11</v>
      </c>
      <c r="B10" s="2" t="s">
        <v>30</v>
      </c>
      <c r="C10" s="2" t="s">
        <v>40</v>
      </c>
      <c r="D10" s="2" t="s">
        <v>56</v>
      </c>
      <c r="E10" s="2" t="s">
        <v>40</v>
      </c>
      <c r="F10" s="2">
        <v>2016</v>
      </c>
      <c r="G10" s="5">
        <v>42517</v>
      </c>
      <c r="H10" s="5" t="s">
        <v>36</v>
      </c>
      <c r="I10" s="13">
        <v>6.1444444444444439</v>
      </c>
      <c r="J10" s="13">
        <v>1.9666666666666666</v>
      </c>
      <c r="K10" s="13">
        <v>6.666666666666667</v>
      </c>
      <c r="L10" s="13">
        <v>2.4366985862022408</v>
      </c>
      <c r="M10" s="13">
        <v>1.5666666666666667</v>
      </c>
      <c r="N10" s="13">
        <v>0.47434164902525694</v>
      </c>
      <c r="O10" s="13">
        <v>1.61</v>
      </c>
      <c r="P10" s="7">
        <v>2.9117134200000002E-2</v>
      </c>
      <c r="Q10" s="7">
        <f>P10/0.04</f>
        <v>0.72792835500000008</v>
      </c>
      <c r="R10" s="11">
        <f>9/400</f>
        <v>2.2499999999999999E-2</v>
      </c>
      <c r="S10" s="2">
        <f>9/0.04</f>
        <v>225</v>
      </c>
      <c r="T10" s="7">
        <f>(S10/4000)*100</f>
        <v>5.625</v>
      </c>
      <c r="U10" s="7">
        <f>(9/160)*100</f>
        <v>5.625</v>
      </c>
      <c r="V10" s="7">
        <f>(P10/0.2886777)*100</f>
        <v>10.086381525140323</v>
      </c>
      <c r="W10" s="7">
        <f t="shared" ref="W10:W15" si="5">T10+U10+V10</f>
        <v>21.336381525140325</v>
      </c>
      <c r="X10" s="7">
        <f t="shared" si="4"/>
        <v>0.10918925325000002</v>
      </c>
      <c r="Y10" s="2">
        <v>0</v>
      </c>
      <c r="Z10" s="9">
        <v>0</v>
      </c>
      <c r="AA10" s="2">
        <v>0</v>
      </c>
      <c r="AB10" s="2">
        <f t="shared" si="0"/>
        <v>0</v>
      </c>
      <c r="AC10" s="2" t="s">
        <v>51</v>
      </c>
    </row>
    <row r="11" spans="1:29" ht="15.75" customHeight="1" x14ac:dyDescent="0.25">
      <c r="A11" s="9">
        <v>11</v>
      </c>
      <c r="B11" s="2" t="s">
        <v>30</v>
      </c>
      <c r="C11" s="2" t="s">
        <v>40</v>
      </c>
      <c r="D11" s="2" t="s">
        <v>56</v>
      </c>
      <c r="E11" s="2" t="s">
        <v>40</v>
      </c>
      <c r="F11" s="2">
        <v>2016</v>
      </c>
      <c r="G11" s="5">
        <v>42517</v>
      </c>
      <c r="H11" s="5" t="s">
        <v>41</v>
      </c>
      <c r="I11" s="13">
        <v>3.1333333333333333</v>
      </c>
      <c r="J11" s="13">
        <v>0.41533119314590378</v>
      </c>
      <c r="K11" s="13">
        <v>4.0555555555555554</v>
      </c>
      <c r="L11" s="13">
        <v>1.4457792977414559</v>
      </c>
      <c r="M11" s="13">
        <v>0.5</v>
      </c>
      <c r="N11" s="13">
        <v>0.2958039891549808</v>
      </c>
      <c r="O11" s="13">
        <v>2.41</v>
      </c>
      <c r="P11" s="7">
        <v>7.0481796000000001E-3</v>
      </c>
      <c r="Q11" s="7">
        <f t="shared" ref="Q11:Q17" si="6">P11/0.04</f>
        <v>0.17620448999999999</v>
      </c>
      <c r="R11" s="11">
        <f>9/400</f>
        <v>2.2499999999999999E-2</v>
      </c>
      <c r="S11" s="2">
        <f>9/0.04</f>
        <v>225</v>
      </c>
      <c r="T11" s="7">
        <f>(S11/4000)*100</f>
        <v>5.625</v>
      </c>
      <c r="U11" s="7">
        <f>(9/160)*100</f>
        <v>5.625</v>
      </c>
      <c r="V11" s="7">
        <f>(P11/0.2886777)*100</f>
        <v>2.441539336083113</v>
      </c>
      <c r="W11" s="7">
        <f t="shared" si="5"/>
        <v>13.691539336083114</v>
      </c>
      <c r="X11" s="7">
        <f t="shared" si="4"/>
        <v>1.6078659712499999E-2</v>
      </c>
      <c r="Y11" s="2">
        <v>0</v>
      </c>
      <c r="Z11" s="9">
        <v>0</v>
      </c>
      <c r="AA11" s="2">
        <f>22/4</f>
        <v>5.5</v>
      </c>
      <c r="AB11" s="2">
        <f t="shared" si="0"/>
        <v>55000</v>
      </c>
      <c r="AC11" s="2" t="s">
        <v>51</v>
      </c>
    </row>
    <row r="12" spans="1:29" ht="15.75" customHeight="1" x14ac:dyDescent="0.25">
      <c r="A12" s="9">
        <v>12</v>
      </c>
      <c r="B12" s="2" t="s">
        <v>30</v>
      </c>
      <c r="C12" s="2" t="s">
        <v>40</v>
      </c>
      <c r="D12" s="2" t="s">
        <v>57</v>
      </c>
      <c r="E12" s="2" t="s">
        <v>40</v>
      </c>
      <c r="F12" s="2">
        <v>2016</v>
      </c>
      <c r="G12" s="5">
        <v>42515</v>
      </c>
      <c r="H12" s="5" t="s">
        <v>31</v>
      </c>
      <c r="I12" s="13">
        <v>3.891390728476821</v>
      </c>
      <c r="J12" s="13">
        <v>1.1050152576533951</v>
      </c>
      <c r="K12" s="13">
        <v>2.8523178807947023</v>
      </c>
      <c r="L12" s="13">
        <v>0.81664634835291205</v>
      </c>
      <c r="M12" s="13">
        <v>0.65132450331125802</v>
      </c>
      <c r="N12" s="13">
        <v>0.30027470866233741</v>
      </c>
      <c r="O12" s="13">
        <v>1.1599999999999999</v>
      </c>
      <c r="P12" s="7">
        <v>0.19397337960000016</v>
      </c>
      <c r="Q12" s="7">
        <f t="shared" si="6"/>
        <v>4.8493344900000039</v>
      </c>
      <c r="R12" s="2">
        <f>151/400</f>
        <v>0.3775</v>
      </c>
      <c r="S12" s="2">
        <f>151/0.04</f>
        <v>3775</v>
      </c>
      <c r="T12" s="9">
        <f>(S12/3775)*100</f>
        <v>100</v>
      </c>
      <c r="U12" s="9">
        <f>(151/151)*100</f>
        <v>100</v>
      </c>
      <c r="V12" s="9">
        <f>(P12/P12)*100</f>
        <v>100</v>
      </c>
      <c r="W12" s="9">
        <f t="shared" si="5"/>
        <v>300</v>
      </c>
      <c r="X12" s="7">
        <f>1*S12*Q12*K12/10000</f>
        <v>5.2215209121075041</v>
      </c>
      <c r="Y12" s="2">
        <v>0</v>
      </c>
      <c r="Z12" s="8">
        <f>(1*100)/152</f>
        <v>0.65789473684210531</v>
      </c>
      <c r="AA12" s="2">
        <f>25/4</f>
        <v>6.25</v>
      </c>
      <c r="AB12" s="2">
        <f t="shared" si="0"/>
        <v>62500</v>
      </c>
      <c r="AC12" s="2" t="s">
        <v>51</v>
      </c>
    </row>
    <row r="13" spans="1:29" ht="15.75" customHeight="1" x14ac:dyDescent="0.25">
      <c r="A13" s="9">
        <v>13</v>
      </c>
      <c r="B13" s="2" t="s">
        <v>30</v>
      </c>
      <c r="C13" s="2" t="s">
        <v>40</v>
      </c>
      <c r="D13" s="2" t="s">
        <v>58</v>
      </c>
      <c r="E13" s="2" t="s">
        <v>40</v>
      </c>
      <c r="F13" s="2">
        <v>2016</v>
      </c>
      <c r="G13" s="5">
        <v>42514</v>
      </c>
      <c r="H13" s="5" t="s">
        <v>31</v>
      </c>
      <c r="I13" s="13">
        <v>6.4452554744525532</v>
      </c>
      <c r="J13" s="13">
        <v>3.0637820438461474</v>
      </c>
      <c r="K13" s="13">
        <v>5.8138686131386859</v>
      </c>
      <c r="L13" s="13">
        <v>2.700604030521577</v>
      </c>
      <c r="M13" s="13">
        <v>1.1416058394160584</v>
      </c>
      <c r="N13" s="13">
        <v>0.99710185447673516</v>
      </c>
      <c r="O13" s="13">
        <v>1.59</v>
      </c>
      <c r="P13" s="7">
        <v>0.54724787040000022</v>
      </c>
      <c r="Q13" s="7">
        <f t="shared" si="6"/>
        <v>13.681196760000006</v>
      </c>
      <c r="R13" s="11">
        <f>137/400</f>
        <v>0.34250000000000003</v>
      </c>
      <c r="S13" s="9">
        <f>137/0.04</f>
        <v>3425</v>
      </c>
      <c r="T13" s="9">
        <f>(S13/3425)*100</f>
        <v>100</v>
      </c>
      <c r="U13" s="9">
        <f>(137/137)*100</f>
        <v>100</v>
      </c>
      <c r="V13" s="9">
        <f>(P13/P13)*100</f>
        <v>100</v>
      </c>
      <c r="W13" s="9">
        <f t="shared" si="5"/>
        <v>300</v>
      </c>
      <c r="X13" s="7">
        <f>1*S13*Q13*K13/10000</f>
        <v>27.24268304835001</v>
      </c>
      <c r="Y13" s="2">
        <v>0</v>
      </c>
      <c r="Z13" s="8">
        <f>(6*100)/143</f>
        <v>4.1958041958041958</v>
      </c>
      <c r="AA13" s="7">
        <f>1/4</f>
        <v>0.25</v>
      </c>
      <c r="AB13" s="2">
        <f t="shared" si="0"/>
        <v>2500</v>
      </c>
      <c r="AC13" s="2" t="s">
        <v>51</v>
      </c>
    </row>
    <row r="14" spans="1:29" ht="15.75" customHeight="1" x14ac:dyDescent="0.25">
      <c r="A14" s="9">
        <v>14</v>
      </c>
      <c r="B14" s="2" t="s">
        <v>30</v>
      </c>
      <c r="C14" s="2" t="s">
        <v>40</v>
      </c>
      <c r="D14" s="2" t="s">
        <v>42</v>
      </c>
      <c r="E14" s="2" t="s">
        <v>40</v>
      </c>
      <c r="F14" s="2">
        <v>2015</v>
      </c>
      <c r="G14" s="5">
        <v>42102</v>
      </c>
      <c r="H14" s="5" t="s">
        <v>31</v>
      </c>
      <c r="I14" s="13">
        <v>12.638461538461538</v>
      </c>
      <c r="J14" s="13">
        <v>5.5082572049512573</v>
      </c>
      <c r="K14" s="13">
        <v>6.5384615384615383</v>
      </c>
      <c r="L14" s="13">
        <v>1.9306900586484879</v>
      </c>
      <c r="M14" s="13">
        <v>1.8076923076923079</v>
      </c>
      <c r="N14" s="13">
        <v>0.63437835511301732</v>
      </c>
      <c r="O14" s="13">
        <v>3.72</v>
      </c>
      <c r="P14" s="7">
        <v>0.19168393860000002</v>
      </c>
      <c r="Q14" s="7">
        <f t="shared" si="6"/>
        <v>4.7920984650000005</v>
      </c>
      <c r="R14" s="2">
        <f>13/400</f>
        <v>3.2500000000000001E-2</v>
      </c>
      <c r="S14" s="2">
        <f>13/0.04</f>
        <v>325</v>
      </c>
      <c r="T14" s="7">
        <f>(S14/1700)*100</f>
        <v>19.117647058823529</v>
      </c>
      <c r="U14" s="7">
        <f>(13/68)*100</f>
        <v>19.117647058823529</v>
      </c>
      <c r="V14" s="7">
        <f>(P14/SUM(P14:P15))*100</f>
        <v>29.843688668620704</v>
      </c>
      <c r="W14" s="9">
        <f t="shared" si="5"/>
        <v>68.078982786267758</v>
      </c>
      <c r="X14" s="7">
        <f>1*S14*Q14*K14/10000</f>
        <v>1.0183209238124999</v>
      </c>
      <c r="Y14" s="2">
        <v>0</v>
      </c>
      <c r="Z14" s="9">
        <v>0</v>
      </c>
      <c r="AA14" s="2">
        <v>0</v>
      </c>
      <c r="AB14" s="2">
        <f t="shared" si="0"/>
        <v>0</v>
      </c>
      <c r="AC14" s="2" t="s">
        <v>51</v>
      </c>
    </row>
    <row r="15" spans="1:29" ht="15.75" customHeight="1" x14ac:dyDescent="0.25">
      <c r="A15" s="9">
        <v>14</v>
      </c>
      <c r="B15" s="2" t="s">
        <v>30</v>
      </c>
      <c r="C15" s="2" t="s">
        <v>40</v>
      </c>
      <c r="D15" s="2" t="s">
        <v>42</v>
      </c>
      <c r="E15" s="2" t="s">
        <v>40</v>
      </c>
      <c r="F15" s="2">
        <v>2015</v>
      </c>
      <c r="G15" s="5">
        <v>42102</v>
      </c>
      <c r="H15" s="5" t="s">
        <v>36</v>
      </c>
      <c r="I15" s="13">
        <v>9.6363636363636367</v>
      </c>
      <c r="J15" s="13">
        <v>3.4157784014104444</v>
      </c>
      <c r="K15" s="13">
        <v>6.0909090909090899</v>
      </c>
      <c r="L15" s="13">
        <v>1.5578086136517786</v>
      </c>
      <c r="M15" s="13">
        <v>1.3358181818181816</v>
      </c>
      <c r="N15" s="13">
        <v>0.65700411777584078</v>
      </c>
      <c r="O15" s="13">
        <v>1.84</v>
      </c>
      <c r="P15" s="7">
        <v>0.4506091128000001</v>
      </c>
      <c r="Q15" s="7">
        <f t="shared" si="6"/>
        <v>11.265227820000002</v>
      </c>
      <c r="R15" s="2">
        <f>55/400</f>
        <v>0.13750000000000001</v>
      </c>
      <c r="S15" s="2">
        <f>55/0.04</f>
        <v>1375</v>
      </c>
      <c r="T15" s="7">
        <f>(S15/1700)*100</f>
        <v>80.882352941176478</v>
      </c>
      <c r="U15" s="7">
        <f>(55/68)*100</f>
        <v>80.882352941176478</v>
      </c>
      <c r="V15" s="7">
        <f>(P15/SUM(P14:P15))*100</f>
        <v>70.156311331379285</v>
      </c>
      <c r="W15" s="9">
        <f t="shared" si="5"/>
        <v>231.92101721373223</v>
      </c>
      <c r="X15" s="7">
        <f t="shared" ref="X15:X17" si="7">1*S15*Q15*K15/10000</f>
        <v>9.434628299249999</v>
      </c>
      <c r="Y15" s="2">
        <v>0</v>
      </c>
      <c r="Z15" s="8">
        <f>(21*100)/76</f>
        <v>27.631578947368421</v>
      </c>
      <c r="AA15" s="2">
        <v>0</v>
      </c>
      <c r="AB15" s="2">
        <f t="shared" si="0"/>
        <v>0</v>
      </c>
      <c r="AC15" s="2" t="s">
        <v>51</v>
      </c>
    </row>
    <row r="16" spans="1:29" x14ac:dyDescent="0.25">
      <c r="A16" s="9">
        <v>15</v>
      </c>
      <c r="B16" s="2" t="s">
        <v>30</v>
      </c>
      <c r="C16" s="2" t="s">
        <v>40</v>
      </c>
      <c r="D16" s="2" t="s">
        <v>43</v>
      </c>
      <c r="E16" s="2" t="s">
        <v>40</v>
      </c>
      <c r="F16" s="2">
        <v>2016</v>
      </c>
      <c r="G16" s="5">
        <v>42516</v>
      </c>
      <c r="H16" s="5" t="s">
        <v>31</v>
      </c>
      <c r="I16" s="13">
        <v>8.1238805970149244</v>
      </c>
      <c r="J16" s="13">
        <v>4.5217015284956217</v>
      </c>
      <c r="K16" s="13">
        <v>5.4208955223880597</v>
      </c>
      <c r="L16" s="13">
        <v>2.7905977047086346</v>
      </c>
      <c r="M16" s="13">
        <v>0.98208955223880601</v>
      </c>
      <c r="N16" s="13">
        <v>0.45790212436202021</v>
      </c>
      <c r="O16" s="13">
        <v>1.98</v>
      </c>
      <c r="P16" s="13">
        <v>0.453273975</v>
      </c>
      <c r="Q16" s="7">
        <f t="shared" si="6"/>
        <v>11.331849374999999</v>
      </c>
      <c r="R16" s="2">
        <f>67/400</f>
        <v>0.16750000000000001</v>
      </c>
      <c r="S16" s="2">
        <f>67/0.04</f>
        <v>1675</v>
      </c>
      <c r="T16" s="9">
        <f>(S16/1675)*100</f>
        <v>100</v>
      </c>
      <c r="U16" s="9">
        <f>(67/67)*100</f>
        <v>100</v>
      </c>
      <c r="V16" s="9">
        <f>(P16/P16)*100</f>
        <v>100</v>
      </c>
      <c r="W16" s="9">
        <f>T16+U16+V16</f>
        <v>300</v>
      </c>
      <c r="X16" s="7">
        <f t="shared" si="7"/>
        <v>10.289319232499999</v>
      </c>
      <c r="Y16" s="2">
        <v>0</v>
      </c>
      <c r="Z16" s="8">
        <f>(3*100)/70</f>
        <v>4.2857142857142856</v>
      </c>
      <c r="AA16" s="7">
        <f>4/4</f>
        <v>1</v>
      </c>
      <c r="AB16" s="2">
        <f t="shared" si="0"/>
        <v>10000</v>
      </c>
      <c r="AC16" s="2" t="s">
        <v>51</v>
      </c>
    </row>
    <row r="17" spans="1:29" ht="15.75" customHeight="1" x14ac:dyDescent="0.25">
      <c r="A17" s="9">
        <v>6</v>
      </c>
      <c r="B17" s="2" t="s">
        <v>30</v>
      </c>
      <c r="C17" s="2" t="s">
        <v>44</v>
      </c>
      <c r="D17" s="2" t="s">
        <v>52</v>
      </c>
      <c r="E17" s="2" t="s">
        <v>44</v>
      </c>
      <c r="F17" s="2">
        <v>2016</v>
      </c>
      <c r="G17" s="5">
        <v>42530</v>
      </c>
      <c r="H17" s="5" t="s">
        <v>31</v>
      </c>
      <c r="I17" s="13">
        <v>6.0139175257731967</v>
      </c>
      <c r="J17" s="13">
        <v>2.8360671362739134</v>
      </c>
      <c r="K17" s="13">
        <v>4.5463917525773212</v>
      </c>
      <c r="L17" s="13">
        <v>1.6836342295141571</v>
      </c>
      <c r="M17" s="13">
        <v>0.7899484536082475</v>
      </c>
      <c r="N17" s="13">
        <v>0.44136680951521234</v>
      </c>
      <c r="O17" s="13">
        <v>1.57</v>
      </c>
      <c r="P17" s="7">
        <v>0.67299276660000018</v>
      </c>
      <c r="Q17" s="7">
        <f t="shared" si="6"/>
        <v>16.824819165000005</v>
      </c>
      <c r="R17" s="2">
        <f>194/400</f>
        <v>0.48499999999999999</v>
      </c>
      <c r="S17" s="9">
        <f>194/0.04</f>
        <v>4850</v>
      </c>
      <c r="T17" s="9">
        <f>(S17/S17)*100</f>
        <v>100</v>
      </c>
      <c r="U17" s="9">
        <f>(194/194)*100</f>
        <v>100</v>
      </c>
      <c r="V17" s="9">
        <f>(P17/P17)*100</f>
        <v>100</v>
      </c>
      <c r="W17" s="9">
        <f>T17+U17+V17</f>
        <v>300</v>
      </c>
      <c r="X17" s="7">
        <f t="shared" si="7"/>
        <v>37.098726258825025</v>
      </c>
      <c r="Y17" s="2">
        <v>0</v>
      </c>
      <c r="Z17" s="8">
        <f>(5*100)/199</f>
        <v>2.512562814070352</v>
      </c>
      <c r="AA17" s="2">
        <v>0</v>
      </c>
      <c r="AB17" s="2">
        <f t="shared" si="0"/>
        <v>0</v>
      </c>
      <c r="AC17" s="2" t="s">
        <v>51</v>
      </c>
    </row>
    <row r="18" spans="1:29" ht="15.75" customHeight="1" x14ac:dyDescent="0.25">
      <c r="A18" s="9">
        <v>7</v>
      </c>
      <c r="B18" s="2" t="s">
        <v>30</v>
      </c>
      <c r="C18" s="2" t="s">
        <v>44</v>
      </c>
      <c r="D18" s="2" t="s">
        <v>72</v>
      </c>
      <c r="E18" s="2" t="s">
        <v>44</v>
      </c>
      <c r="F18" s="2">
        <v>2016</v>
      </c>
      <c r="G18" s="5">
        <v>42529</v>
      </c>
      <c r="H18" s="5" t="s">
        <v>31</v>
      </c>
      <c r="I18" s="13">
        <v>6.5642857142857141</v>
      </c>
      <c r="J18" s="13">
        <v>2.9103219797771556</v>
      </c>
      <c r="K18" s="13">
        <v>4.6071428571428568</v>
      </c>
      <c r="L18" s="13">
        <v>1.52</v>
      </c>
      <c r="M18" s="13">
        <v>0.88214285714285723</v>
      </c>
      <c r="N18" s="13">
        <v>0.35731684073847486</v>
      </c>
      <c r="O18" s="13">
        <v>1.74</v>
      </c>
      <c r="P18" s="7">
        <v>0.22610723520000001</v>
      </c>
      <c r="Q18" s="7">
        <f t="shared" ref="Q18:Q26" si="8">P18/0.04</f>
        <v>5.6526808800000001</v>
      </c>
      <c r="R18" s="2">
        <f>56/400</f>
        <v>0.14000000000000001</v>
      </c>
      <c r="S18" s="2">
        <f>56/0.04</f>
        <v>1400</v>
      </c>
      <c r="T18" s="7">
        <f>(S18/4150)*100</f>
        <v>33.734939759036145</v>
      </c>
      <c r="U18" s="7">
        <f>(56/166)*100</f>
        <v>33.734939759036145</v>
      </c>
      <c r="V18" s="7">
        <f>(P18/SUM(P18:P19))*100</f>
        <v>47.107643570577672</v>
      </c>
      <c r="W18" s="9">
        <f t="shared" ref="W18:W19" si="9">T18+U18+V18</f>
        <v>114.57752308864997</v>
      </c>
      <c r="X18" s="7">
        <f>1*S18*Q18*K18/10000</f>
        <v>3.6459791676000002</v>
      </c>
      <c r="Y18" s="2">
        <v>0</v>
      </c>
      <c r="Z18" s="8">
        <f>(2*100)/58</f>
        <v>3.4482758620689653</v>
      </c>
      <c r="AA18" s="2">
        <v>0</v>
      </c>
      <c r="AB18" s="2">
        <f t="shared" si="0"/>
        <v>0</v>
      </c>
      <c r="AC18" s="2" t="s">
        <v>51</v>
      </c>
    </row>
    <row r="19" spans="1:29" ht="15.75" customHeight="1" x14ac:dyDescent="0.25">
      <c r="A19" s="9">
        <v>7</v>
      </c>
      <c r="B19" s="2" t="s">
        <v>30</v>
      </c>
      <c r="C19" s="2" t="s">
        <v>44</v>
      </c>
      <c r="D19" s="2" t="s">
        <v>72</v>
      </c>
      <c r="E19" s="2" t="s">
        <v>44</v>
      </c>
      <c r="F19" s="2">
        <v>2016</v>
      </c>
      <c r="G19" s="5">
        <v>42529</v>
      </c>
      <c r="H19" s="5" t="s">
        <v>36</v>
      </c>
      <c r="I19" s="13">
        <v>5.1854545454545447</v>
      </c>
      <c r="J19" s="13">
        <v>1.5872679409172088</v>
      </c>
      <c r="K19" s="13">
        <v>4.99</v>
      </c>
      <c r="L19" s="13">
        <v>1.2438435548696753</v>
      </c>
      <c r="M19" s="13">
        <v>0.81818181818181823</v>
      </c>
      <c r="N19" s="13">
        <v>0.42191825335060446</v>
      </c>
      <c r="O19" s="13">
        <v>1.31</v>
      </c>
      <c r="P19" s="7">
        <v>0.25387269600000012</v>
      </c>
      <c r="Q19" s="7">
        <f t="shared" si="8"/>
        <v>6.3468174000000026</v>
      </c>
      <c r="R19" s="2">
        <f>110/400</f>
        <v>0.27500000000000002</v>
      </c>
      <c r="S19" s="2">
        <f>110/0.04</f>
        <v>2750</v>
      </c>
      <c r="T19" s="7">
        <f>(S19/4150)*100</f>
        <v>66.265060240963862</v>
      </c>
      <c r="U19" s="7">
        <f>(110/166)*100</f>
        <v>66.265060240963862</v>
      </c>
      <c r="V19" s="7">
        <f>(P19/SUM(P18:P19))*100</f>
        <v>52.892356429422328</v>
      </c>
      <c r="W19" s="9">
        <f t="shared" si="9"/>
        <v>185.42247691135006</v>
      </c>
      <c r="X19" s="7">
        <f>1*S19*Q19*K19/10000</f>
        <v>8.7094201771500046</v>
      </c>
      <c r="Y19" s="2">
        <v>0</v>
      </c>
      <c r="Z19" s="9">
        <f>(0*100)/110</f>
        <v>0</v>
      </c>
      <c r="AA19" s="2">
        <v>0</v>
      </c>
      <c r="AB19" s="2">
        <f t="shared" si="0"/>
        <v>0</v>
      </c>
      <c r="AC19" s="2" t="s">
        <v>51</v>
      </c>
    </row>
    <row r="20" spans="1:29" ht="15.75" customHeight="1" x14ac:dyDescent="0.25">
      <c r="A20" s="9">
        <v>8</v>
      </c>
      <c r="B20" s="2" t="s">
        <v>30</v>
      </c>
      <c r="C20" s="2" t="s">
        <v>44</v>
      </c>
      <c r="D20" s="2" t="s">
        <v>54</v>
      </c>
      <c r="E20" s="2" t="s">
        <v>44</v>
      </c>
      <c r="F20" s="2">
        <v>2016</v>
      </c>
      <c r="G20" s="5">
        <v>42528</v>
      </c>
      <c r="H20" s="5" t="s">
        <v>31</v>
      </c>
      <c r="I20" s="12">
        <v>5.49</v>
      </c>
      <c r="J20" s="12">
        <v>2.4128462152505112</v>
      </c>
      <c r="K20" s="12">
        <v>4.1531791907514464</v>
      </c>
      <c r="L20" s="12">
        <v>1.6472153236159368</v>
      </c>
      <c r="M20" s="12">
        <v>0.89341040462427745</v>
      </c>
      <c r="N20" s="12">
        <v>0.43706132732672964</v>
      </c>
      <c r="O20" s="12">
        <v>1.61</v>
      </c>
      <c r="P20" s="7">
        <v>0.48880232939999985</v>
      </c>
      <c r="Q20" s="7">
        <f t="shared" si="8"/>
        <v>12.220058234999996</v>
      </c>
      <c r="R20" s="11">
        <f>173/400</f>
        <v>0.4325</v>
      </c>
      <c r="S20" s="2">
        <f>173/0.04</f>
        <v>4325</v>
      </c>
      <c r="T20" s="7">
        <f>(S20/4400)*100</f>
        <v>98.295454545454547</v>
      </c>
      <c r="U20" s="7">
        <f>(173/176)*100</f>
        <v>98.295454545454547</v>
      </c>
      <c r="V20" s="7">
        <f>(P20/SUM(P20:P21))*100</f>
        <v>99.551956132970346</v>
      </c>
      <c r="W20" s="9">
        <f>T20+U20+V20</f>
        <v>296.14286522387943</v>
      </c>
      <c r="X20" s="7">
        <f t="shared" ref="X20:X51" si="10">1*S20*Q20*K20/10000</f>
        <v>21.950279604618753</v>
      </c>
      <c r="Y20" s="2">
        <v>0</v>
      </c>
      <c r="Z20" s="9">
        <v>0</v>
      </c>
      <c r="AA20" s="2">
        <f>35/4</f>
        <v>8.75</v>
      </c>
      <c r="AB20" s="2">
        <f t="shared" si="0"/>
        <v>87500</v>
      </c>
      <c r="AC20" s="2" t="s">
        <v>51</v>
      </c>
    </row>
    <row r="21" spans="1:29" ht="15.75" customHeight="1" x14ac:dyDescent="0.25">
      <c r="A21" s="9">
        <v>8</v>
      </c>
      <c r="B21" s="2" t="s">
        <v>30</v>
      </c>
      <c r="C21" s="2" t="s">
        <v>44</v>
      </c>
      <c r="D21" s="2" t="s">
        <v>54</v>
      </c>
      <c r="E21" s="2" t="s">
        <v>44</v>
      </c>
      <c r="F21" s="2">
        <v>2016</v>
      </c>
      <c r="G21" s="5">
        <v>42528</v>
      </c>
      <c r="H21" s="5" t="s">
        <v>41</v>
      </c>
      <c r="I21" s="12">
        <v>3.0333333333333332</v>
      </c>
      <c r="J21" s="12">
        <v>0.45092497528228942</v>
      </c>
      <c r="K21" s="12">
        <v>2.8333333333333335</v>
      </c>
      <c r="L21" s="12">
        <v>0.57735026918962573</v>
      </c>
      <c r="M21" s="12">
        <v>0.8666666666666667</v>
      </c>
      <c r="N21" s="12">
        <v>0.25166114784235799</v>
      </c>
      <c r="O21" s="12">
        <v>1.65</v>
      </c>
      <c r="P21" s="7">
        <v>2.1999054E-3</v>
      </c>
      <c r="Q21" s="7">
        <f t="shared" si="8"/>
        <v>5.4997634999999996E-2</v>
      </c>
      <c r="R21" s="11">
        <f>3/400</f>
        <v>7.4999999999999997E-3</v>
      </c>
      <c r="S21" s="2">
        <f>3/0.04</f>
        <v>75</v>
      </c>
      <c r="T21" s="7">
        <f>(S21/4400)*100</f>
        <v>1.7045454545454544</v>
      </c>
      <c r="U21" s="7">
        <f>(3/176)*100</f>
        <v>1.7045454545454544</v>
      </c>
      <c r="V21" s="11">
        <f>(P21/SUM(P20:P21))*100</f>
        <v>0.44804386702966609</v>
      </c>
      <c r="W21" s="9">
        <f>T21+U21+V21</f>
        <v>3.8571347761205748</v>
      </c>
      <c r="X21" s="7">
        <f t="shared" si="10"/>
        <v>1.1686997437499998E-3</v>
      </c>
      <c r="Y21" s="2">
        <v>0</v>
      </c>
      <c r="Z21" s="9">
        <v>0</v>
      </c>
      <c r="AA21" s="2">
        <v>0</v>
      </c>
      <c r="AB21" s="2">
        <f t="shared" si="0"/>
        <v>0</v>
      </c>
      <c r="AC21" s="2" t="s">
        <v>51</v>
      </c>
    </row>
    <row r="22" spans="1:29" ht="15.75" customHeight="1" x14ac:dyDescent="0.25">
      <c r="A22" s="9">
        <v>9</v>
      </c>
      <c r="B22" s="2" t="s">
        <v>30</v>
      </c>
      <c r="C22" s="2" t="s">
        <v>44</v>
      </c>
      <c r="D22" s="2" t="s">
        <v>55</v>
      </c>
      <c r="E22" s="2" t="s">
        <v>44</v>
      </c>
      <c r="F22" s="2">
        <v>2016</v>
      </c>
      <c r="G22" s="5">
        <v>42528</v>
      </c>
      <c r="H22" s="5" t="s">
        <v>31</v>
      </c>
      <c r="I22" s="12">
        <v>6.3879432624113477</v>
      </c>
      <c r="J22" s="12">
        <v>2.9809747968768536</v>
      </c>
      <c r="K22" s="12">
        <v>5.0531914893617014</v>
      </c>
      <c r="L22" s="12">
        <v>2.150333967134586</v>
      </c>
      <c r="M22" s="12">
        <v>0.84751773049645385</v>
      </c>
      <c r="N22" s="12">
        <v>0.61118988869297142</v>
      </c>
      <c r="O22" s="12">
        <v>1.73</v>
      </c>
      <c r="P22" s="7">
        <v>0.54959857260000022</v>
      </c>
      <c r="Q22" s="7">
        <f t="shared" si="8"/>
        <v>13.739964315000005</v>
      </c>
      <c r="R22" s="2">
        <f>141/400</f>
        <v>0.35249999999999998</v>
      </c>
      <c r="S22" s="2">
        <f>141/0.04</f>
        <v>3525</v>
      </c>
      <c r="T22" s="7">
        <f>(S22/3550)*100</f>
        <v>99.295774647887328</v>
      </c>
      <c r="U22" s="7">
        <f>(141/142)*100</f>
        <v>99.295774647887328</v>
      </c>
      <c r="V22" s="7">
        <f>(P22/SUM(P22:P23))*100</f>
        <v>99.381359843777744</v>
      </c>
      <c r="W22" s="9">
        <f>T22+U22+V22</f>
        <v>297.97290913955237</v>
      </c>
      <c r="X22" s="7">
        <f t="shared" si="10"/>
        <v>24.474311436093757</v>
      </c>
      <c r="Y22" s="8">
        <f>(7*100)/148</f>
        <v>4.7297297297297298</v>
      </c>
      <c r="Z22" s="8">
        <f>(3*100)/144</f>
        <v>2.0833333333333335</v>
      </c>
      <c r="AA22" s="2">
        <f>10/4</f>
        <v>2.5</v>
      </c>
      <c r="AB22" s="2">
        <f t="shared" si="0"/>
        <v>25000</v>
      </c>
      <c r="AC22" s="2" t="s">
        <v>51</v>
      </c>
    </row>
    <row r="23" spans="1:29" ht="15.75" customHeight="1" x14ac:dyDescent="0.25">
      <c r="A23" s="9">
        <v>9</v>
      </c>
      <c r="B23" s="2" t="s">
        <v>30</v>
      </c>
      <c r="C23" s="2" t="s">
        <v>44</v>
      </c>
      <c r="D23" s="2" t="s">
        <v>55</v>
      </c>
      <c r="E23" s="2" t="s">
        <v>44</v>
      </c>
      <c r="F23" s="2">
        <v>2016</v>
      </c>
      <c r="G23" s="5">
        <v>42528</v>
      </c>
      <c r="H23" s="5" t="s">
        <v>36</v>
      </c>
      <c r="I23" s="12">
        <v>6.6</v>
      </c>
      <c r="J23" s="12" t="s">
        <v>51</v>
      </c>
      <c r="K23" s="12">
        <v>7</v>
      </c>
      <c r="L23" s="12" t="s">
        <v>51</v>
      </c>
      <c r="M23" s="12">
        <v>0.24</v>
      </c>
      <c r="N23" s="12" t="s">
        <v>51</v>
      </c>
      <c r="O23" s="7">
        <v>2.13</v>
      </c>
      <c r="P23" s="7">
        <v>3.4212023999999992E-3</v>
      </c>
      <c r="Q23" s="7">
        <f t="shared" si="8"/>
        <v>8.5530059999999977E-2</v>
      </c>
      <c r="R23" s="2">
        <f>1/400</f>
        <v>2.5000000000000001E-3</v>
      </c>
      <c r="S23" s="7">
        <f>1/0.04</f>
        <v>25</v>
      </c>
      <c r="T23" s="7">
        <f>(S23/3550)*100</f>
        <v>0.70422535211267612</v>
      </c>
      <c r="U23" s="7">
        <f>(1/142)*100</f>
        <v>0.70422535211267612</v>
      </c>
      <c r="V23" s="7">
        <f>(P23/SUM(P22:P23))*100</f>
        <v>0.61864015622226132</v>
      </c>
      <c r="W23" s="9">
        <f>T23+U23+V23</f>
        <v>2.0270908604476134</v>
      </c>
      <c r="X23" s="7">
        <f t="shared" si="10"/>
        <v>1.4967760499999998E-3</v>
      </c>
      <c r="Y23" s="2">
        <v>0</v>
      </c>
      <c r="Z23" s="9">
        <v>0</v>
      </c>
      <c r="AA23" s="2">
        <v>0</v>
      </c>
      <c r="AB23" s="2">
        <f t="shared" si="0"/>
        <v>0</v>
      </c>
      <c r="AC23" s="2" t="s">
        <v>51</v>
      </c>
    </row>
    <row r="24" spans="1:29" ht="15.75" customHeight="1" x14ac:dyDescent="0.25">
      <c r="A24" s="9">
        <v>10</v>
      </c>
      <c r="B24" s="2" t="s">
        <v>30</v>
      </c>
      <c r="C24" s="2" t="s">
        <v>44</v>
      </c>
      <c r="D24" s="2" t="s">
        <v>45</v>
      </c>
      <c r="E24" s="2" t="s">
        <v>44</v>
      </c>
      <c r="F24" s="2">
        <v>2015</v>
      </c>
      <c r="G24" s="19">
        <v>42088</v>
      </c>
      <c r="H24" s="5" t="s">
        <v>31</v>
      </c>
      <c r="I24" s="13">
        <v>4.9240601503759409</v>
      </c>
      <c r="J24" s="13">
        <v>1.8134660591998011</v>
      </c>
      <c r="K24" s="13">
        <v>3.4470149253731339</v>
      </c>
      <c r="L24" s="13">
        <v>0.98474761458823201</v>
      </c>
      <c r="M24" s="13">
        <v>1.4831343283582097</v>
      </c>
      <c r="N24" s="13">
        <v>0.52447814078957278</v>
      </c>
      <c r="O24" s="13">
        <v>1.06</v>
      </c>
      <c r="P24" s="7">
        <v>0.28651234920000013</v>
      </c>
      <c r="Q24" s="7">
        <f t="shared" si="8"/>
        <v>7.1628087300000027</v>
      </c>
      <c r="R24" s="2">
        <f>133/400</f>
        <v>0.33250000000000002</v>
      </c>
      <c r="S24" s="2">
        <f>133/0.04</f>
        <v>3325</v>
      </c>
      <c r="T24" s="7">
        <f>(S24/3725)*100</f>
        <v>89.261744966442961</v>
      </c>
      <c r="U24" s="7">
        <f>(133/149)*100</f>
        <v>89.261744966442961</v>
      </c>
      <c r="V24" s="7">
        <f>(P24/SUM(P24:P26))*100</f>
        <v>83.944975239778373</v>
      </c>
      <c r="W24" s="9">
        <f t="shared" ref="W24:W56" si="11">T24+U24+V24</f>
        <v>262.46846517266431</v>
      </c>
      <c r="X24" s="7">
        <f t="shared" si="10"/>
        <v>8.2095276094677434</v>
      </c>
      <c r="Y24" s="2">
        <v>0</v>
      </c>
      <c r="Z24" s="8">
        <f>(2*100)/135</f>
        <v>1.4814814814814814</v>
      </c>
      <c r="AA24" s="2">
        <v>0</v>
      </c>
      <c r="AB24" s="2">
        <f t="shared" si="0"/>
        <v>0</v>
      </c>
      <c r="AC24" s="2" t="s">
        <v>51</v>
      </c>
    </row>
    <row r="25" spans="1:29" ht="15.75" customHeight="1" x14ac:dyDescent="0.25">
      <c r="A25" s="9">
        <v>10</v>
      </c>
      <c r="B25" s="2" t="s">
        <v>30</v>
      </c>
      <c r="C25" s="2" t="s">
        <v>44</v>
      </c>
      <c r="D25" s="2" t="s">
        <v>45</v>
      </c>
      <c r="E25" s="2" t="s">
        <v>44</v>
      </c>
      <c r="F25" s="2">
        <v>2015</v>
      </c>
      <c r="G25" s="19">
        <v>42088</v>
      </c>
      <c r="H25" s="5" t="s">
        <v>36</v>
      </c>
      <c r="I25" s="13">
        <v>6.8461538461538449</v>
      </c>
      <c r="J25" s="13">
        <v>1.8269352226316953</v>
      </c>
      <c r="K25" s="13">
        <v>4.384615384615385</v>
      </c>
      <c r="L25" s="13">
        <v>0.98221361716461131</v>
      </c>
      <c r="M25" s="13">
        <v>1.7538461538461501</v>
      </c>
      <c r="N25" s="13">
        <v>0.2757274760078165</v>
      </c>
      <c r="O25" s="13">
        <v>1.5</v>
      </c>
      <c r="P25" s="7">
        <v>5.1000734399999997E-2</v>
      </c>
      <c r="Q25" s="7">
        <f t="shared" si="8"/>
        <v>1.27501836</v>
      </c>
      <c r="R25" s="2">
        <f>13/400</f>
        <v>3.2500000000000001E-2</v>
      </c>
      <c r="S25" s="2">
        <f>13/0.04</f>
        <v>325</v>
      </c>
      <c r="T25" s="7">
        <f>(S25/3725)*100</f>
        <v>8.724832214765101</v>
      </c>
      <c r="U25" s="7">
        <f>(13/149)*100</f>
        <v>8.724832214765101</v>
      </c>
      <c r="V25" s="7">
        <f>(P25/SUM(P24:P26))*100</f>
        <v>14.942655694850973</v>
      </c>
      <c r="W25" s="9">
        <f t="shared" si="11"/>
        <v>32.392320124381172</v>
      </c>
      <c r="X25" s="7">
        <f t="shared" si="10"/>
        <v>0.18169011630000001</v>
      </c>
      <c r="Y25" s="2">
        <v>0</v>
      </c>
      <c r="Z25" s="9">
        <v>0</v>
      </c>
      <c r="AA25" s="2">
        <v>0</v>
      </c>
      <c r="AB25" s="2">
        <f t="shared" si="0"/>
        <v>0</v>
      </c>
      <c r="AC25" s="2" t="s">
        <v>51</v>
      </c>
    </row>
    <row r="26" spans="1:29" ht="15.75" customHeight="1" x14ac:dyDescent="0.25">
      <c r="A26" s="9">
        <v>10</v>
      </c>
      <c r="B26" s="2" t="s">
        <v>30</v>
      </c>
      <c r="C26" s="2" t="s">
        <v>44</v>
      </c>
      <c r="D26" s="2" t="s">
        <v>45</v>
      </c>
      <c r="E26" s="2" t="s">
        <v>44</v>
      </c>
      <c r="F26" s="2">
        <v>2015</v>
      </c>
      <c r="G26" s="19">
        <v>42088</v>
      </c>
      <c r="H26" s="5" t="s">
        <v>41</v>
      </c>
      <c r="I26" s="13">
        <v>3.8666666666666671</v>
      </c>
      <c r="J26" s="13">
        <v>1.3203534880225556</v>
      </c>
      <c r="K26" s="13">
        <v>3.333333333333333</v>
      </c>
      <c r="L26" s="13">
        <v>1.0408329997330663</v>
      </c>
      <c r="M26" s="13">
        <v>0.7</v>
      </c>
      <c r="N26" s="13">
        <v>0.50744457825461098</v>
      </c>
      <c r="O26" s="13">
        <v>1.63</v>
      </c>
      <c r="P26" s="7">
        <v>3.7966236E-3</v>
      </c>
      <c r="Q26" s="7">
        <f t="shared" si="8"/>
        <v>9.4915589999999994E-2</v>
      </c>
      <c r="R26" s="2">
        <f>3/400</f>
        <v>7.4999999999999997E-3</v>
      </c>
      <c r="S26" s="2">
        <f>3/0.04</f>
        <v>75</v>
      </c>
      <c r="T26" s="7">
        <f>(S26/3725)*100</f>
        <v>2.0134228187919461</v>
      </c>
      <c r="U26" s="7">
        <f>(3/149)*100</f>
        <v>2.0134228187919461</v>
      </c>
      <c r="V26" s="7">
        <f>(P26/SUM(P24:P26))*100</f>
        <v>1.1123690653706668</v>
      </c>
      <c r="W26" s="9">
        <f t="shared" si="11"/>
        <v>5.1392147029545594</v>
      </c>
      <c r="X26" s="7">
        <f t="shared" si="10"/>
        <v>2.37288975E-3</v>
      </c>
      <c r="Y26" s="2">
        <v>0</v>
      </c>
      <c r="Z26" s="9">
        <v>0</v>
      </c>
      <c r="AA26" s="2">
        <v>0</v>
      </c>
      <c r="AB26" s="2">
        <f t="shared" si="0"/>
        <v>0</v>
      </c>
      <c r="AC26" s="2" t="s">
        <v>51</v>
      </c>
    </row>
    <row r="27" spans="1:29" ht="15.75" customHeight="1" x14ac:dyDescent="0.25">
      <c r="A27" s="9">
        <v>16</v>
      </c>
      <c r="B27" s="2" t="s">
        <v>30</v>
      </c>
      <c r="C27" s="2" t="s">
        <v>46</v>
      </c>
      <c r="D27" s="2" t="s">
        <v>59</v>
      </c>
      <c r="E27" s="2" t="s">
        <v>46</v>
      </c>
      <c r="F27" s="2">
        <v>2015</v>
      </c>
      <c r="G27" s="5">
        <v>42083</v>
      </c>
      <c r="H27" s="5" t="s">
        <v>31</v>
      </c>
      <c r="I27" s="13">
        <v>4.6548780487804873</v>
      </c>
      <c r="J27" s="13">
        <v>2.2721693793923019</v>
      </c>
      <c r="K27" s="13">
        <v>1.6970731707317075</v>
      </c>
      <c r="L27" s="13">
        <v>0.77295087574071697</v>
      </c>
      <c r="M27" s="13">
        <v>0.30463414634146335</v>
      </c>
      <c r="N27" s="13">
        <v>0.22247871376581602</v>
      </c>
      <c r="O27" s="13">
        <v>1.07</v>
      </c>
      <c r="P27" s="7">
        <v>0.17239137300000001</v>
      </c>
      <c r="Q27" s="7">
        <f>P27/0.04</f>
        <v>4.3097843249999999</v>
      </c>
      <c r="R27" s="11">
        <f>82/400</f>
        <v>0.20499999999999999</v>
      </c>
      <c r="S27" s="2">
        <f>82/0.04</f>
        <v>2050</v>
      </c>
      <c r="T27" s="9">
        <f>(S27/2050)*100</f>
        <v>100</v>
      </c>
      <c r="U27" s="9">
        <f>(82/82)*100</f>
        <v>100</v>
      </c>
      <c r="V27" s="2">
        <v>100</v>
      </c>
      <c r="W27" s="9">
        <f t="shared" si="11"/>
        <v>300</v>
      </c>
      <c r="X27" s="7">
        <f t="shared" si="10"/>
        <v>1.4993739666675001</v>
      </c>
      <c r="Y27" s="2">
        <v>0</v>
      </c>
      <c r="Z27" s="9">
        <v>0</v>
      </c>
      <c r="AA27" s="2">
        <f>7/4</f>
        <v>1.75</v>
      </c>
      <c r="AB27" s="2">
        <f t="shared" si="0"/>
        <v>17500</v>
      </c>
      <c r="AC27" s="2" t="s">
        <v>51</v>
      </c>
    </row>
    <row r="28" spans="1:29" ht="15.75" customHeight="1" x14ac:dyDescent="0.25">
      <c r="A28" s="9">
        <v>17</v>
      </c>
      <c r="B28" s="2" t="s">
        <v>30</v>
      </c>
      <c r="C28" s="2" t="s">
        <v>46</v>
      </c>
      <c r="D28" s="2" t="s">
        <v>60</v>
      </c>
      <c r="E28" s="2" t="s">
        <v>46</v>
      </c>
      <c r="F28" s="2">
        <v>2016</v>
      </c>
      <c r="G28" s="5">
        <v>42459</v>
      </c>
      <c r="H28" s="5" t="s">
        <v>31</v>
      </c>
      <c r="I28" s="13">
        <v>4.597142857142857</v>
      </c>
      <c r="J28" s="13">
        <v>1.7654337434525851</v>
      </c>
      <c r="K28" s="13">
        <v>2.0699999999999994</v>
      </c>
      <c r="L28" s="13">
        <v>0.86510794974146554</v>
      </c>
      <c r="M28" s="13">
        <v>0.38857142857142862</v>
      </c>
      <c r="N28" s="13">
        <v>0.39780384507903377</v>
      </c>
      <c r="O28" s="13">
        <v>0.98</v>
      </c>
      <c r="P28" s="7">
        <v>6.6417350999999986E-2</v>
      </c>
      <c r="Q28" s="7">
        <f>P28/0.04</f>
        <v>1.6604337749999996</v>
      </c>
      <c r="R28" s="2">
        <f>35/400</f>
        <v>8.7499999999999994E-2</v>
      </c>
      <c r="S28" s="2">
        <f>35/0.04</f>
        <v>875</v>
      </c>
      <c r="T28" s="7">
        <f>(S28/900)*100</f>
        <v>97.222222222222214</v>
      </c>
      <c r="U28" s="7">
        <f>(35/36)*100</f>
        <v>97.222222222222214</v>
      </c>
      <c r="V28" s="8">
        <f>(P28/0.067379466)*100</f>
        <v>98.572094649726054</v>
      </c>
      <c r="W28" s="9">
        <f t="shared" si="11"/>
        <v>293.01653909417047</v>
      </c>
      <c r="X28" s="7">
        <f t="shared" si="10"/>
        <v>0.30074606749687482</v>
      </c>
      <c r="Y28" s="2">
        <v>0</v>
      </c>
      <c r="Z28" s="8">
        <f>(3*100)/38</f>
        <v>7.8947368421052628</v>
      </c>
      <c r="AA28" s="2">
        <f>3/4</f>
        <v>0.75</v>
      </c>
      <c r="AB28" s="2">
        <f>AA28*10000</f>
        <v>7500</v>
      </c>
      <c r="AC28" s="2" t="s">
        <v>51</v>
      </c>
    </row>
    <row r="29" spans="1:29" ht="15.75" customHeight="1" x14ac:dyDescent="0.25">
      <c r="A29" s="9">
        <v>17</v>
      </c>
      <c r="B29" s="2" t="s">
        <v>30</v>
      </c>
      <c r="C29" s="2" t="s">
        <v>46</v>
      </c>
      <c r="D29" s="2" t="s">
        <v>60</v>
      </c>
      <c r="E29" s="2" t="s">
        <v>46</v>
      </c>
      <c r="F29" s="2">
        <v>2016</v>
      </c>
      <c r="G29" s="5">
        <v>42459</v>
      </c>
      <c r="H29" s="5" t="s">
        <v>41</v>
      </c>
      <c r="I29" s="13">
        <v>3.5</v>
      </c>
      <c r="J29" s="13" t="s">
        <v>51</v>
      </c>
      <c r="K29" s="13">
        <v>2.5</v>
      </c>
      <c r="L29" s="13" t="s">
        <v>51</v>
      </c>
      <c r="M29" s="7">
        <v>0.25</v>
      </c>
      <c r="N29" s="13" t="s">
        <v>51</v>
      </c>
      <c r="O29" s="7">
        <v>1.95</v>
      </c>
      <c r="P29" s="7">
        <v>9.6211500000000004E-4</v>
      </c>
      <c r="Q29" s="7">
        <f>P29/0.04</f>
        <v>2.4052875000000001E-2</v>
      </c>
      <c r="R29" s="2">
        <f>1/400</f>
        <v>2.5000000000000001E-3</v>
      </c>
      <c r="S29" s="2">
        <f>1/0.04</f>
        <v>25</v>
      </c>
      <c r="T29" s="7">
        <f>(S29/900)*100</f>
        <v>2.7777777777777777</v>
      </c>
      <c r="U29" s="7">
        <f>(1/36)*100</f>
        <v>2.7777777777777777</v>
      </c>
      <c r="V29" s="8">
        <f>(P29/0.067379466)*100</f>
        <v>1.4279053502739247</v>
      </c>
      <c r="W29" s="9">
        <f t="shared" si="11"/>
        <v>6.9834609058294799</v>
      </c>
      <c r="X29" s="7">
        <f t="shared" si="10"/>
        <v>1.5033046875E-4</v>
      </c>
      <c r="Y29" s="2">
        <v>0</v>
      </c>
      <c r="Z29" s="9">
        <v>0</v>
      </c>
      <c r="AA29" s="2">
        <v>0</v>
      </c>
      <c r="AB29" s="2">
        <v>0</v>
      </c>
      <c r="AC29" s="2" t="s">
        <v>51</v>
      </c>
    </row>
    <row r="30" spans="1:29" ht="15.75" customHeight="1" x14ac:dyDescent="0.25">
      <c r="A30" s="9">
        <v>18</v>
      </c>
      <c r="B30" s="2" t="s">
        <v>30</v>
      </c>
      <c r="C30" s="2" t="s">
        <v>46</v>
      </c>
      <c r="D30" s="2" t="s">
        <v>61</v>
      </c>
      <c r="E30" s="2" t="s">
        <v>46</v>
      </c>
      <c r="F30" s="2">
        <v>2016</v>
      </c>
      <c r="G30" s="5">
        <v>42458</v>
      </c>
      <c r="H30" s="5" t="s">
        <v>31</v>
      </c>
      <c r="I30" s="13">
        <v>4.8818181818181827</v>
      </c>
      <c r="J30" s="13">
        <v>2.0118738438670465</v>
      </c>
      <c r="K30" s="13">
        <v>5.2272727272727275</v>
      </c>
      <c r="L30" s="13">
        <v>1.9667693861207569</v>
      </c>
      <c r="M30" s="13">
        <v>0.8772727272727272</v>
      </c>
      <c r="N30" s="13">
        <v>0.37440862460928725</v>
      </c>
      <c r="O30" s="13">
        <v>1.17</v>
      </c>
      <c r="P30" s="7">
        <v>2.3768560200000004E-2</v>
      </c>
      <c r="Q30" s="7">
        <f t="shared" ref="Q30:Q31" si="12">P30/0.04</f>
        <v>0.5942140050000001</v>
      </c>
      <c r="R30" s="11">
        <f>11/400</f>
        <v>2.75E-2</v>
      </c>
      <c r="S30" s="2">
        <f>11/0.04</f>
        <v>275</v>
      </c>
      <c r="T30" s="7">
        <f>(S30/2725)*100</f>
        <v>10.091743119266056</v>
      </c>
      <c r="U30" s="7">
        <f>(11/109)*100</f>
        <v>10.091743119266056</v>
      </c>
      <c r="V30" s="7">
        <f>(P30/SUM(P30:P32))*100</f>
        <v>6.8189414117896803</v>
      </c>
      <c r="W30" s="9">
        <f t="shared" si="11"/>
        <v>27.002427650321792</v>
      </c>
      <c r="X30" s="7">
        <f t="shared" si="10"/>
        <v>8.5418263218750026E-2</v>
      </c>
      <c r="Y30" s="2">
        <v>0</v>
      </c>
      <c r="Z30" s="8">
        <f>(1*100)/12</f>
        <v>8.3333333333333339</v>
      </c>
      <c r="AA30" s="2">
        <v>0</v>
      </c>
      <c r="AB30" s="2">
        <f t="shared" si="0"/>
        <v>0</v>
      </c>
      <c r="AC30" s="2" t="s">
        <v>51</v>
      </c>
    </row>
    <row r="31" spans="1:29" ht="15.75" customHeight="1" x14ac:dyDescent="0.25">
      <c r="A31" s="9">
        <v>18</v>
      </c>
      <c r="B31" s="2" t="s">
        <v>30</v>
      </c>
      <c r="C31" s="2" t="s">
        <v>46</v>
      </c>
      <c r="D31" s="2" t="s">
        <v>61</v>
      </c>
      <c r="E31" s="2" t="s">
        <v>46</v>
      </c>
      <c r="F31" s="2">
        <v>2016</v>
      </c>
      <c r="G31" s="5">
        <v>42458</v>
      </c>
      <c r="H31" s="5" t="s">
        <v>36</v>
      </c>
      <c r="I31" s="13">
        <v>6.2696666666666658</v>
      </c>
      <c r="J31" s="13">
        <v>2.3539927591461192</v>
      </c>
      <c r="K31" s="13">
        <v>6.4777777777777787</v>
      </c>
      <c r="L31" s="13">
        <v>1.330099073591152</v>
      </c>
      <c r="M31" s="13">
        <v>1.2461111111111114</v>
      </c>
      <c r="N31" s="13">
        <v>0.60897905804188612</v>
      </c>
      <c r="O31" s="13">
        <v>1.5</v>
      </c>
      <c r="P31" s="15">
        <v>0.31659151200600011</v>
      </c>
      <c r="Q31" s="7">
        <f t="shared" si="12"/>
        <v>7.9147878001500027</v>
      </c>
      <c r="R31" s="11">
        <f>90/400</f>
        <v>0.22500000000000001</v>
      </c>
      <c r="S31" s="2">
        <f>90/0.04</f>
        <v>2250</v>
      </c>
      <c r="T31" s="7">
        <f t="shared" ref="T31" si="13">(S31/2725)*100</f>
        <v>82.568807339449549</v>
      </c>
      <c r="U31" s="7">
        <f>(90/109)*100</f>
        <v>82.568807339449549</v>
      </c>
      <c r="V31" s="7">
        <f>(P31/SUM(P30:P32))*100</f>
        <v>90.826661508879454</v>
      </c>
      <c r="W31" s="9">
        <f t="shared" si="11"/>
        <v>255.96427618777855</v>
      </c>
      <c r="X31" s="7">
        <f t="shared" si="10"/>
        <v>11.535803218718632</v>
      </c>
      <c r="Y31" s="2">
        <v>0</v>
      </c>
      <c r="Z31" s="8">
        <f>(20*100)/110</f>
        <v>18.181818181818183</v>
      </c>
      <c r="AA31" s="2">
        <v>0</v>
      </c>
      <c r="AB31" s="2">
        <f t="shared" si="0"/>
        <v>0</v>
      </c>
      <c r="AC31" s="2" t="s">
        <v>51</v>
      </c>
    </row>
    <row r="32" spans="1:29" ht="15.75" customHeight="1" x14ac:dyDescent="0.25">
      <c r="A32" s="9">
        <v>18</v>
      </c>
      <c r="B32" s="2" t="s">
        <v>30</v>
      </c>
      <c r="C32" s="2" t="s">
        <v>46</v>
      </c>
      <c r="D32" s="2" t="s">
        <v>61</v>
      </c>
      <c r="E32" s="2" t="s">
        <v>46</v>
      </c>
      <c r="F32" s="2">
        <v>2016</v>
      </c>
      <c r="G32" s="5">
        <v>42458</v>
      </c>
      <c r="H32" s="5" t="s">
        <v>41</v>
      </c>
      <c r="I32" s="13">
        <v>3.5625</v>
      </c>
      <c r="J32" s="13">
        <v>0.65013734812620283</v>
      </c>
      <c r="K32" s="13">
        <v>3.625</v>
      </c>
      <c r="L32" s="13">
        <v>1.2747548783981961</v>
      </c>
      <c r="M32" s="13">
        <v>0.55625000000000002</v>
      </c>
      <c r="N32" s="13">
        <v>0.50031240240473751</v>
      </c>
      <c r="O32" s="13">
        <v>1.63</v>
      </c>
      <c r="P32" s="15">
        <v>8.2066446000000001E-3</v>
      </c>
      <c r="Q32" s="7">
        <f>P32/0.04</f>
        <v>0.20516611500000001</v>
      </c>
      <c r="R32" s="11">
        <f>8/400</f>
        <v>0.02</v>
      </c>
      <c r="S32" s="2">
        <f>8/0.04</f>
        <v>200</v>
      </c>
      <c r="T32" s="7">
        <f>(S32/2725)*100</f>
        <v>7.3394495412844041</v>
      </c>
      <c r="U32" s="7">
        <f>(8/109)*100</f>
        <v>7.3394495412844041</v>
      </c>
      <c r="V32" s="7">
        <f>(P32/SUM(P30:P32))*100</f>
        <v>2.3543970793308784</v>
      </c>
      <c r="W32" s="9">
        <f t="shared" si="11"/>
        <v>17.033296161899685</v>
      </c>
      <c r="X32" s="7">
        <f t="shared" si="10"/>
        <v>1.4874543337500001E-2</v>
      </c>
      <c r="Y32" s="2">
        <v>0</v>
      </c>
      <c r="Z32" s="8">
        <f>(1*100)/9</f>
        <v>11.111111111111111</v>
      </c>
      <c r="AA32" s="2">
        <v>0</v>
      </c>
      <c r="AB32" s="2">
        <f t="shared" si="0"/>
        <v>0</v>
      </c>
      <c r="AC32" s="2" t="s">
        <v>51</v>
      </c>
    </row>
    <row r="33" spans="1:29" ht="15.75" customHeight="1" x14ac:dyDescent="0.25">
      <c r="A33" s="9">
        <v>19</v>
      </c>
      <c r="B33" s="2" t="s">
        <v>30</v>
      </c>
      <c r="C33" s="2" t="s">
        <v>46</v>
      </c>
      <c r="D33" s="2" t="s">
        <v>62</v>
      </c>
      <c r="E33" s="2" t="s">
        <v>46</v>
      </c>
      <c r="F33" s="2">
        <v>2016</v>
      </c>
      <c r="G33" s="5">
        <v>42460</v>
      </c>
      <c r="H33" s="5" t="s">
        <v>31</v>
      </c>
      <c r="I33" s="13">
        <v>3.59</v>
      </c>
      <c r="J33" s="13">
        <v>0.74508490465954036</v>
      </c>
      <c r="K33" s="13">
        <v>3.3380952380952378</v>
      </c>
      <c r="L33" s="13">
        <v>1.0604254639069017</v>
      </c>
      <c r="M33" s="13">
        <v>0.67727272727272725</v>
      </c>
      <c r="N33" s="13">
        <v>0.33406845346684805</v>
      </c>
      <c r="O33" s="13">
        <v>0.89</v>
      </c>
      <c r="P33" s="7">
        <v>2.3196003600000004E-2</v>
      </c>
      <c r="Q33" s="7">
        <f>P33/0.04</f>
        <v>0.57990009000000009</v>
      </c>
      <c r="R33" s="11">
        <f>22/400</f>
        <v>5.5E-2</v>
      </c>
      <c r="S33" s="2">
        <f>22/0.04</f>
        <v>550</v>
      </c>
      <c r="T33" s="7">
        <f>(S33/1125)*100</f>
        <v>48.888888888888886</v>
      </c>
      <c r="U33" s="7">
        <f>(22/45)*100</f>
        <v>48.888888888888886</v>
      </c>
      <c r="V33" s="7">
        <f>(P33/SUM(P33:P35))*100</f>
        <v>31.754940541470443</v>
      </c>
      <c r="W33" s="9">
        <f t="shared" si="11"/>
        <v>129.5327183192482</v>
      </c>
      <c r="X33" s="7">
        <f t="shared" si="10"/>
        <v>0.106466895095</v>
      </c>
      <c r="Y33" s="2">
        <v>0</v>
      </c>
      <c r="Z33" s="8">
        <f>(2*100)/24</f>
        <v>8.3333333333333339</v>
      </c>
      <c r="AA33" s="2">
        <v>0</v>
      </c>
      <c r="AB33" s="2">
        <f t="shared" si="0"/>
        <v>0</v>
      </c>
      <c r="AC33" s="2" t="s">
        <v>51</v>
      </c>
    </row>
    <row r="34" spans="1:29" ht="15.75" customHeight="1" x14ac:dyDescent="0.25">
      <c r="A34" s="9">
        <v>19</v>
      </c>
      <c r="B34" s="2" t="s">
        <v>30</v>
      </c>
      <c r="C34" s="2" t="s">
        <v>46</v>
      </c>
      <c r="D34" s="2" t="s">
        <v>62</v>
      </c>
      <c r="E34" s="2" t="s">
        <v>46</v>
      </c>
      <c r="F34" s="2">
        <v>2016</v>
      </c>
      <c r="G34" s="5">
        <v>42460</v>
      </c>
      <c r="H34" s="5" t="s">
        <v>36</v>
      </c>
      <c r="I34" s="13">
        <v>5.090476190476191</v>
      </c>
      <c r="J34" s="13">
        <v>1.9091633670026149</v>
      </c>
      <c r="K34" s="13">
        <v>4.7380952380952372</v>
      </c>
      <c r="L34" s="13">
        <v>1.2411592123801809</v>
      </c>
      <c r="M34" s="13">
        <v>0.84761904761904772</v>
      </c>
      <c r="N34" s="13">
        <v>0.49205593952217236</v>
      </c>
      <c r="O34" s="13">
        <v>1.21</v>
      </c>
      <c r="P34" s="15">
        <v>4.8464677800000008E-2</v>
      </c>
      <c r="Q34" s="7">
        <f>P34/0.04</f>
        <v>1.2116169450000003</v>
      </c>
      <c r="R34" s="11">
        <f>21/400</f>
        <v>5.2499999999999998E-2</v>
      </c>
      <c r="S34" s="9">
        <f>21/0.04</f>
        <v>525</v>
      </c>
      <c r="T34" s="7">
        <f>(S34/1125)*100</f>
        <v>46.666666666666664</v>
      </c>
      <c r="U34" s="7">
        <f>(21/45)*100</f>
        <v>46.666666666666664</v>
      </c>
      <c r="V34" s="7">
        <f>(P34/SUM(P33:P35))*100</f>
        <v>66.347332430165793</v>
      </c>
      <c r="W34" s="9">
        <f t="shared" si="11"/>
        <v>159.68066576349912</v>
      </c>
      <c r="X34" s="7">
        <f t="shared" si="10"/>
        <v>0.30138971506875001</v>
      </c>
      <c r="Y34" s="2">
        <v>0</v>
      </c>
      <c r="Z34" s="8">
        <f>(2*100)/23</f>
        <v>8.695652173913043</v>
      </c>
      <c r="AA34" s="2">
        <v>0</v>
      </c>
      <c r="AB34" s="2">
        <f t="shared" si="0"/>
        <v>0</v>
      </c>
      <c r="AC34" s="2" t="s">
        <v>51</v>
      </c>
    </row>
    <row r="35" spans="1:29" ht="15.75" customHeight="1" x14ac:dyDescent="0.25">
      <c r="A35" s="9">
        <v>19</v>
      </c>
      <c r="B35" s="2" t="s">
        <v>30</v>
      </c>
      <c r="C35" s="2" t="s">
        <v>46</v>
      </c>
      <c r="D35" s="2" t="s">
        <v>62</v>
      </c>
      <c r="E35" s="2" t="s">
        <v>46</v>
      </c>
      <c r="F35" s="2">
        <v>2016</v>
      </c>
      <c r="G35" s="5">
        <v>42460</v>
      </c>
      <c r="H35" s="5" t="s">
        <v>41</v>
      </c>
      <c r="I35" s="13">
        <v>2.95</v>
      </c>
      <c r="J35" s="13">
        <v>0.49497474683058335</v>
      </c>
      <c r="K35" s="13">
        <v>2.5</v>
      </c>
      <c r="L35" s="13">
        <v>0</v>
      </c>
      <c r="M35" s="13">
        <v>0.32500000000000001</v>
      </c>
      <c r="N35" s="13">
        <v>0.10606601717798214</v>
      </c>
      <c r="O35" s="13">
        <v>1.06</v>
      </c>
      <c r="P35" s="15">
        <v>1.3862309999999999E-3</v>
      </c>
      <c r="Q35" s="7">
        <f>P35/0.04</f>
        <v>3.4655775E-2</v>
      </c>
      <c r="R35" s="11">
        <f>2/400</f>
        <v>5.0000000000000001E-3</v>
      </c>
      <c r="S35" s="2">
        <f>2/0.04</f>
        <v>50</v>
      </c>
      <c r="T35" s="7">
        <f>(S35/1125)*100</f>
        <v>4.4444444444444446</v>
      </c>
      <c r="U35" s="7">
        <f>(2/45)*100</f>
        <v>4.4444444444444446</v>
      </c>
      <c r="V35" s="7">
        <f>(P35/SUM(P33:P35))*100</f>
        <v>1.8977270283637611</v>
      </c>
      <c r="W35" s="9">
        <f t="shared" si="11"/>
        <v>10.78661591725265</v>
      </c>
      <c r="X35" s="7">
        <f t="shared" si="10"/>
        <v>4.3319718750000008E-4</v>
      </c>
      <c r="Y35" s="2">
        <v>0</v>
      </c>
      <c r="Z35" s="9">
        <v>0</v>
      </c>
      <c r="AA35" s="2">
        <v>0</v>
      </c>
      <c r="AB35" s="2">
        <f t="shared" si="0"/>
        <v>0</v>
      </c>
      <c r="AC35" s="2" t="s">
        <v>51</v>
      </c>
    </row>
    <row r="36" spans="1:29" ht="15.75" customHeight="1" x14ac:dyDescent="0.25">
      <c r="A36" s="9">
        <v>20</v>
      </c>
      <c r="B36" s="2" t="s">
        <v>30</v>
      </c>
      <c r="C36" s="2" t="s">
        <v>46</v>
      </c>
      <c r="D36" s="2" t="s">
        <v>63</v>
      </c>
      <c r="E36" s="2" t="s">
        <v>46</v>
      </c>
      <c r="F36" s="2">
        <v>2016</v>
      </c>
      <c r="G36" s="5">
        <v>42461</v>
      </c>
      <c r="H36" s="5" t="s">
        <v>31</v>
      </c>
      <c r="I36" s="13">
        <v>4.3786407766990294</v>
      </c>
      <c r="J36" s="13">
        <v>1.3322287448171344</v>
      </c>
      <c r="K36" s="13">
        <v>4.7165048543689316</v>
      </c>
      <c r="L36" s="13">
        <v>1.2995547568889407</v>
      </c>
      <c r="M36" s="13">
        <v>0.71485436893203858</v>
      </c>
      <c r="N36" s="13">
        <v>0.38140828845901492</v>
      </c>
      <c r="O36" s="13">
        <v>1.3</v>
      </c>
      <c r="P36" s="15">
        <v>0.16931653199999996</v>
      </c>
      <c r="Q36" s="7">
        <f t="shared" ref="Q36:Q37" si="14">P36/0.04</f>
        <v>4.232913299999999</v>
      </c>
      <c r="R36" s="2">
        <f>103/400</f>
        <v>0.25750000000000001</v>
      </c>
      <c r="S36" s="2">
        <f>103/0.04</f>
        <v>2575</v>
      </c>
      <c r="T36" s="7">
        <f>(S36/2950)*100</f>
        <v>87.288135593220346</v>
      </c>
      <c r="U36" s="7">
        <f>(103/118)*100</f>
        <v>87.288135593220346</v>
      </c>
      <c r="V36" s="7">
        <f>(P36/SUM(P36:P37)*100)</f>
        <v>68.074813455812006</v>
      </c>
      <c r="W36" s="9">
        <f t="shared" si="11"/>
        <v>242.6510846422527</v>
      </c>
      <c r="X36" s="7">
        <f t="shared" si="10"/>
        <v>5.1408732028499982</v>
      </c>
      <c r="Y36" s="2">
        <v>0</v>
      </c>
      <c r="Z36" s="8">
        <f>(8*100)/111</f>
        <v>7.2072072072072073</v>
      </c>
      <c r="AA36" s="2">
        <v>0</v>
      </c>
      <c r="AB36" s="2">
        <f t="shared" si="0"/>
        <v>0</v>
      </c>
      <c r="AC36" s="2" t="s">
        <v>51</v>
      </c>
    </row>
    <row r="37" spans="1:29" ht="15.75" customHeight="1" x14ac:dyDescent="0.25">
      <c r="A37" s="9">
        <v>20</v>
      </c>
      <c r="B37" s="2" t="s">
        <v>30</v>
      </c>
      <c r="C37" s="2" t="s">
        <v>46</v>
      </c>
      <c r="D37" s="2" t="s">
        <v>63</v>
      </c>
      <c r="E37" s="2" t="s">
        <v>46</v>
      </c>
      <c r="F37" s="2">
        <v>2016</v>
      </c>
      <c r="G37" s="5">
        <v>42461</v>
      </c>
      <c r="H37" s="5" t="s">
        <v>36</v>
      </c>
      <c r="I37" s="13">
        <v>7.8733333333333331</v>
      </c>
      <c r="J37" s="13">
        <v>2.4078640999461598</v>
      </c>
      <c r="K37" s="13">
        <v>6.9666666666666668</v>
      </c>
      <c r="L37" s="13">
        <v>1.4936372989961053</v>
      </c>
      <c r="M37" s="13">
        <v>1.0219999999999998</v>
      </c>
      <c r="N37" s="13">
        <v>0.54865029195029413</v>
      </c>
      <c r="O37" s="13">
        <v>2.2200000000000002</v>
      </c>
      <c r="P37" s="15">
        <v>7.9404725400000001E-2</v>
      </c>
      <c r="Q37" s="7">
        <f t="shared" si="14"/>
        <v>1.985118135</v>
      </c>
      <c r="R37" s="2">
        <f>15/400</f>
        <v>3.7499999999999999E-2</v>
      </c>
      <c r="S37" s="2">
        <f>15/0.04</f>
        <v>375</v>
      </c>
      <c r="T37" s="7">
        <f>(S37/2950)*100</f>
        <v>12.711864406779661</v>
      </c>
      <c r="U37" s="7">
        <f>(15/118)*100</f>
        <v>12.711864406779661</v>
      </c>
      <c r="V37" s="7">
        <f>(P37/SUM(P36:P37))*100</f>
        <v>31.925186544188005</v>
      </c>
      <c r="W37" s="9">
        <f t="shared" si="11"/>
        <v>57.34891535774733</v>
      </c>
      <c r="X37" s="7">
        <f t="shared" si="10"/>
        <v>0.51861211276874997</v>
      </c>
      <c r="Y37" s="2">
        <v>0</v>
      </c>
      <c r="Z37" s="8">
        <v>0</v>
      </c>
      <c r="AA37" s="2">
        <v>0</v>
      </c>
      <c r="AB37" s="2">
        <f>AA37*10000</f>
        <v>0</v>
      </c>
      <c r="AC37" s="2" t="s">
        <v>51</v>
      </c>
    </row>
    <row r="38" spans="1:29" ht="15.75" customHeight="1" x14ac:dyDescent="0.25">
      <c r="A38" s="9">
        <v>21</v>
      </c>
      <c r="B38" s="2" t="s">
        <v>30</v>
      </c>
      <c r="C38" s="2" t="s">
        <v>47</v>
      </c>
      <c r="D38" s="2" t="s">
        <v>64</v>
      </c>
      <c r="E38" s="2" t="s">
        <v>47</v>
      </c>
      <c r="F38" s="2">
        <v>2016</v>
      </c>
      <c r="G38" s="19">
        <v>42487</v>
      </c>
      <c r="H38" s="5" t="s">
        <v>31</v>
      </c>
      <c r="I38" s="12">
        <v>6.11156462585034</v>
      </c>
      <c r="J38" s="12">
        <v>2.2964092580339281</v>
      </c>
      <c r="K38" s="12">
        <v>2.9929251700680264</v>
      </c>
      <c r="L38" s="12">
        <v>0.84698353632197854</v>
      </c>
      <c r="M38" s="12">
        <v>1.3272789115646255</v>
      </c>
      <c r="N38" s="12">
        <v>0.59221612796635725</v>
      </c>
      <c r="O38" s="12">
        <v>1.65</v>
      </c>
      <c r="P38" s="7">
        <v>0.49170438240000003</v>
      </c>
      <c r="Q38" s="7">
        <f>P38/0.04</f>
        <v>12.292609560000001</v>
      </c>
      <c r="R38" s="2">
        <f>147/400</f>
        <v>0.36749999999999999</v>
      </c>
      <c r="S38" s="2">
        <f>147/0.04</f>
        <v>3675</v>
      </c>
      <c r="T38" s="7">
        <v>100</v>
      </c>
      <c r="U38" s="7">
        <v>100</v>
      </c>
      <c r="V38" s="2">
        <v>100</v>
      </c>
      <c r="W38" s="9">
        <f t="shared" si="11"/>
        <v>300</v>
      </c>
      <c r="X38" s="7">
        <f t="shared" si="10"/>
        <v>13.520641255043998</v>
      </c>
      <c r="Y38" s="2">
        <v>0</v>
      </c>
      <c r="Z38" s="8">
        <f>(5*100)/152</f>
        <v>3.2894736842105261</v>
      </c>
      <c r="AA38" s="2">
        <f>3/4</f>
        <v>0.75</v>
      </c>
      <c r="AB38" s="2">
        <f t="shared" si="0"/>
        <v>7500</v>
      </c>
      <c r="AC38" s="2" t="s">
        <v>51</v>
      </c>
    </row>
    <row r="39" spans="1:29" ht="15.75" customHeight="1" x14ac:dyDescent="0.25">
      <c r="A39" s="9">
        <v>22</v>
      </c>
      <c r="B39" s="2" t="s">
        <v>30</v>
      </c>
      <c r="C39" s="2" t="s">
        <v>47</v>
      </c>
      <c r="D39" s="2" t="s">
        <v>65</v>
      </c>
      <c r="E39" s="2" t="s">
        <v>47</v>
      </c>
      <c r="F39" s="2">
        <v>2015</v>
      </c>
      <c r="G39" s="5">
        <v>42174</v>
      </c>
      <c r="H39" s="5" t="s">
        <v>31</v>
      </c>
      <c r="I39" s="12">
        <v>4.8919354838709683</v>
      </c>
      <c r="J39" s="12">
        <v>2.331979978198838</v>
      </c>
      <c r="K39" s="12">
        <v>3.1</v>
      </c>
      <c r="L39" s="12">
        <v>1.7311875056732151</v>
      </c>
      <c r="M39" s="12">
        <v>0.82548387096774201</v>
      </c>
      <c r="N39" s="12">
        <v>0.38821017384897577</v>
      </c>
      <c r="O39" s="12">
        <v>1.28</v>
      </c>
      <c r="P39" s="7">
        <v>0.14258544300000003</v>
      </c>
      <c r="Q39" s="7">
        <f>P39/0.04</f>
        <v>3.5646360750000006</v>
      </c>
      <c r="R39" s="11">
        <f>62/400</f>
        <v>0.155</v>
      </c>
      <c r="S39" s="2">
        <f>62/0.04</f>
        <v>1550</v>
      </c>
      <c r="T39" s="7">
        <f>(S39/4200)*100</f>
        <v>36.904761904761905</v>
      </c>
      <c r="U39" s="7">
        <f>(62/168)*100</f>
        <v>36.904761904761905</v>
      </c>
      <c r="V39" s="7">
        <f>(P39/0.3059)*100</f>
        <v>46.611782608695663</v>
      </c>
      <c r="W39" s="9">
        <f t="shared" si="11"/>
        <v>120.42130641821947</v>
      </c>
      <c r="X39" s="7">
        <f t="shared" si="10"/>
        <v>1.7128076340375002</v>
      </c>
      <c r="Y39" s="2">
        <v>0</v>
      </c>
      <c r="Z39" s="9">
        <v>0</v>
      </c>
      <c r="AA39" s="2">
        <v>0</v>
      </c>
      <c r="AB39" s="2">
        <f t="shared" si="0"/>
        <v>0</v>
      </c>
      <c r="AC39" s="2" t="s">
        <v>51</v>
      </c>
    </row>
    <row r="40" spans="1:29" ht="15.75" customHeight="1" x14ac:dyDescent="0.25">
      <c r="A40" s="9">
        <v>22</v>
      </c>
      <c r="B40" s="2" t="s">
        <v>30</v>
      </c>
      <c r="C40" s="2" t="s">
        <v>47</v>
      </c>
      <c r="D40" s="2" t="s">
        <v>65</v>
      </c>
      <c r="E40" s="2" t="s">
        <v>47</v>
      </c>
      <c r="F40" s="2">
        <v>2015</v>
      </c>
      <c r="G40" s="5">
        <v>42174</v>
      </c>
      <c r="H40" s="5" t="s">
        <v>36</v>
      </c>
      <c r="I40" s="13">
        <v>4.1764150943396237</v>
      </c>
      <c r="J40" s="13">
        <v>1.4821831958485108</v>
      </c>
      <c r="K40" s="13">
        <v>3.5</v>
      </c>
      <c r="L40" s="13">
        <v>1.2800213385463042</v>
      </c>
      <c r="M40" s="13">
        <v>0.94433962264150995</v>
      </c>
      <c r="N40" s="13">
        <v>0.5082313287843947</v>
      </c>
      <c r="O40" s="13">
        <v>1.08</v>
      </c>
      <c r="P40" s="7">
        <v>0.16332942780000012</v>
      </c>
      <c r="Q40" s="7">
        <f>P40/0.04</f>
        <v>4.0832356950000026</v>
      </c>
      <c r="R40" s="11">
        <f>106/400</f>
        <v>0.26500000000000001</v>
      </c>
      <c r="S40" s="2">
        <f>106/0.04</f>
        <v>2650</v>
      </c>
      <c r="T40" s="7">
        <f>(S40/4200)*100</f>
        <v>63.095238095238095</v>
      </c>
      <c r="U40" s="7">
        <f>(106/168)*100</f>
        <v>63.095238095238095</v>
      </c>
      <c r="V40" s="7">
        <f>(P40/0.3059)*100</f>
        <v>53.393078718535506</v>
      </c>
      <c r="W40" s="9">
        <f t="shared" si="11"/>
        <v>179.5835549090117</v>
      </c>
      <c r="X40" s="7">
        <f t="shared" si="10"/>
        <v>3.7872011071125025</v>
      </c>
      <c r="Y40" s="2">
        <v>0</v>
      </c>
      <c r="Z40" s="8">
        <f>(8*100)/70</f>
        <v>11.428571428571429</v>
      </c>
      <c r="AA40" s="2">
        <f>12/4</f>
        <v>3</v>
      </c>
      <c r="AB40" s="2">
        <f t="shared" si="0"/>
        <v>30000</v>
      </c>
      <c r="AC40" s="2" t="s">
        <v>51</v>
      </c>
    </row>
    <row r="41" spans="1:29" ht="15.75" customHeight="1" x14ac:dyDescent="0.25">
      <c r="A41" s="9">
        <v>23</v>
      </c>
      <c r="B41" s="2" t="s">
        <v>30</v>
      </c>
      <c r="C41" s="2" t="s">
        <v>47</v>
      </c>
      <c r="D41" s="2" t="s">
        <v>66</v>
      </c>
      <c r="E41" s="2" t="s">
        <v>47</v>
      </c>
      <c r="F41" s="2">
        <v>2016</v>
      </c>
      <c r="G41" s="5">
        <v>42467</v>
      </c>
      <c r="H41" s="5" t="s">
        <v>31</v>
      </c>
      <c r="I41" s="13">
        <v>7.0682119205297997</v>
      </c>
      <c r="J41" s="13">
        <v>3.2721729958531047</v>
      </c>
      <c r="K41" s="13">
        <v>6.4781456953642413</v>
      </c>
      <c r="L41" s="13">
        <v>2.588330067559264</v>
      </c>
      <c r="M41" s="13">
        <v>1.1715231788079477</v>
      </c>
      <c r="N41" s="13">
        <v>0.77911295573395178</v>
      </c>
      <c r="O41" s="13">
        <v>1.68</v>
      </c>
      <c r="P41" s="7">
        <v>0.71863864379999998</v>
      </c>
      <c r="Q41" s="7">
        <f>P41/0.04</f>
        <v>17.965966094999999</v>
      </c>
      <c r="R41" s="2">
        <f>151/400</f>
        <v>0.3775</v>
      </c>
      <c r="S41" s="2">
        <f>151/0.04</f>
        <v>3775</v>
      </c>
      <c r="T41" s="7">
        <f>(S41/3925)*100</f>
        <v>96.178343949044589</v>
      </c>
      <c r="U41" s="7">
        <f>(151/157)*100</f>
        <v>96.178343949044589</v>
      </c>
      <c r="V41" s="7">
        <f>(P41/0.772197426)*100</f>
        <v>93.064107649589602</v>
      </c>
      <c r="W41" s="9">
        <f>T41+U41+V41</f>
        <v>285.42079554767878</v>
      </c>
      <c r="X41" s="7">
        <f t="shared" si="10"/>
        <v>43.935770085322517</v>
      </c>
      <c r="Y41" s="2">
        <v>0</v>
      </c>
      <c r="Z41" s="8">
        <f>(20*100)/171</f>
        <v>11.695906432748538</v>
      </c>
      <c r="AA41" s="2">
        <f>7/4</f>
        <v>1.75</v>
      </c>
      <c r="AB41" s="2">
        <f t="shared" si="0"/>
        <v>17500</v>
      </c>
      <c r="AC41" s="2" t="s">
        <v>51</v>
      </c>
    </row>
    <row r="42" spans="1:29" ht="15.75" customHeight="1" x14ac:dyDescent="0.25">
      <c r="A42" s="9">
        <v>23</v>
      </c>
      <c r="B42" s="2" t="s">
        <v>30</v>
      </c>
      <c r="C42" s="2" t="s">
        <v>47</v>
      </c>
      <c r="D42" s="2" t="s">
        <v>66</v>
      </c>
      <c r="E42" s="2" t="s">
        <v>47</v>
      </c>
      <c r="F42" s="2">
        <v>2016</v>
      </c>
      <c r="G42" s="5">
        <v>42467</v>
      </c>
      <c r="H42" s="5" t="s">
        <v>36</v>
      </c>
      <c r="I42" s="13">
        <v>10.98</v>
      </c>
      <c r="J42" s="13">
        <v>3.7445961063911821</v>
      </c>
      <c r="K42" s="13">
        <v>9.4</v>
      </c>
      <c r="L42" s="13">
        <v>1.6733200530681513</v>
      </c>
      <c r="M42" s="13">
        <v>1.56</v>
      </c>
      <c r="N42" s="13">
        <v>0.70213958726167836</v>
      </c>
      <c r="O42" s="13">
        <v>2.95</v>
      </c>
      <c r="P42" s="7">
        <v>5.17492206E-2</v>
      </c>
      <c r="Q42" s="7">
        <f t="shared" ref="Q42" si="15">P42/0.04</f>
        <v>1.293730515</v>
      </c>
      <c r="R42" s="2">
        <f>5/400</f>
        <v>1.2500000000000001E-2</v>
      </c>
      <c r="S42" s="2">
        <f>5/0.04</f>
        <v>125</v>
      </c>
      <c r="T42" s="7">
        <f t="shared" ref="T42:T43" si="16">(S42/3925)*100</f>
        <v>3.1847133757961785</v>
      </c>
      <c r="U42" s="7">
        <f>(5/157)*100</f>
        <v>3.1847133757961785</v>
      </c>
      <c r="V42" s="7">
        <f t="shared" ref="V42:V43" si="17">(P42/0.772197426)*100</f>
        <v>6.7015531077411286</v>
      </c>
      <c r="W42" s="9">
        <f>T42+U42+V42</f>
        <v>13.070979859333486</v>
      </c>
      <c r="X42" s="7">
        <f t="shared" si="10"/>
        <v>0.15201333551249999</v>
      </c>
      <c r="Y42" s="2">
        <v>0</v>
      </c>
      <c r="Z42" s="9">
        <v>0</v>
      </c>
      <c r="AA42" s="2">
        <v>0</v>
      </c>
      <c r="AB42" s="2">
        <f t="shared" si="0"/>
        <v>0</v>
      </c>
      <c r="AC42" s="2" t="s">
        <v>51</v>
      </c>
    </row>
    <row r="43" spans="1:29" ht="15.75" customHeight="1" x14ac:dyDescent="0.25">
      <c r="A43" s="9">
        <v>23</v>
      </c>
      <c r="B43" s="2" t="s">
        <v>30</v>
      </c>
      <c r="C43" s="2" t="s">
        <v>47</v>
      </c>
      <c r="D43" s="2" t="s">
        <v>66</v>
      </c>
      <c r="E43" s="2" t="s">
        <v>47</v>
      </c>
      <c r="F43" s="2">
        <v>2016</v>
      </c>
      <c r="G43" s="5">
        <v>42467</v>
      </c>
      <c r="H43" s="5" t="s">
        <v>41</v>
      </c>
      <c r="I43" s="13">
        <v>4.8</v>
      </c>
      <c r="J43" s="13" t="s">
        <v>51</v>
      </c>
      <c r="K43" s="13">
        <v>4</v>
      </c>
      <c r="L43" s="13" t="s">
        <v>51</v>
      </c>
      <c r="M43" s="13">
        <v>0.6</v>
      </c>
      <c r="N43" s="13" t="s">
        <v>51</v>
      </c>
      <c r="O43" s="13">
        <v>1.88</v>
      </c>
      <c r="P43" s="7">
        <v>1.8095615999999999E-3</v>
      </c>
      <c r="Q43" s="7">
        <f>P43/0.04</f>
        <v>4.5239039999999994E-2</v>
      </c>
      <c r="R43" s="2">
        <f>1/400</f>
        <v>2.5000000000000001E-3</v>
      </c>
      <c r="S43" s="2">
        <f>1/0.04</f>
        <v>25</v>
      </c>
      <c r="T43" s="7">
        <f t="shared" si="16"/>
        <v>0.63694267515923575</v>
      </c>
      <c r="U43" s="7">
        <f>(1/157)*100</f>
        <v>0.63694267515923575</v>
      </c>
      <c r="V43" s="7">
        <f t="shared" si="17"/>
        <v>0.23433924266927042</v>
      </c>
      <c r="W43" s="9">
        <f t="shared" si="11"/>
        <v>1.5082245929877418</v>
      </c>
      <c r="X43" s="7">
        <f t="shared" si="10"/>
        <v>4.5239039999999992E-4</v>
      </c>
      <c r="Y43" s="2">
        <v>0</v>
      </c>
      <c r="Z43" s="9">
        <v>0</v>
      </c>
      <c r="AA43" s="2">
        <v>0</v>
      </c>
      <c r="AB43" s="2">
        <f t="shared" si="0"/>
        <v>0</v>
      </c>
      <c r="AC43" s="2" t="s">
        <v>51</v>
      </c>
    </row>
    <row r="44" spans="1:29" ht="15.75" customHeight="1" x14ac:dyDescent="0.25">
      <c r="A44" s="9">
        <v>24</v>
      </c>
      <c r="B44" s="2" t="s">
        <v>30</v>
      </c>
      <c r="C44" s="2" t="s">
        <v>47</v>
      </c>
      <c r="D44" s="2" t="s">
        <v>67</v>
      </c>
      <c r="E44" s="2" t="s">
        <v>47</v>
      </c>
      <c r="F44" s="2">
        <v>2015</v>
      </c>
      <c r="G44" s="5">
        <v>42224</v>
      </c>
      <c r="H44" s="5" t="s">
        <v>31</v>
      </c>
      <c r="I44" s="12">
        <v>4.2852631578947404</v>
      </c>
      <c r="J44" s="12">
        <v>1.4487682531336039</v>
      </c>
      <c r="K44" s="12">
        <v>3.6136842105263147</v>
      </c>
      <c r="L44" s="12">
        <v>1.3365253877057792</v>
      </c>
      <c r="M44" s="12">
        <v>0.75526315789473708</v>
      </c>
      <c r="N44" s="12">
        <v>0.3800527457941415</v>
      </c>
      <c r="O44" s="12">
        <v>1.45</v>
      </c>
      <c r="P44" s="7">
        <v>0.15251132820000018</v>
      </c>
      <c r="Q44" s="7">
        <f>P44/0.04</f>
        <v>3.8127832050000046</v>
      </c>
      <c r="R44" s="2">
        <f>95/400</f>
        <v>0.23749999999999999</v>
      </c>
      <c r="S44" s="2">
        <f>95/0.04</f>
        <v>2375</v>
      </c>
      <c r="T44" s="7">
        <f>(S44/3450)*100</f>
        <v>68.840579710144922</v>
      </c>
      <c r="U44" s="7">
        <f>(95/138)*100</f>
        <v>68.840579710144922</v>
      </c>
      <c r="V44" s="7">
        <f>(P44/0.2049)*100</f>
        <v>74.432078184480318</v>
      </c>
      <c r="W44" s="9">
        <f t="shared" si="11"/>
        <v>212.11323760477018</v>
      </c>
      <c r="X44" s="7">
        <f t="shared" si="10"/>
        <v>3.2723211856912529</v>
      </c>
      <c r="Y44" s="2">
        <v>0</v>
      </c>
      <c r="Z44" s="8">
        <f>(1*100)/96</f>
        <v>1.0416666666666667</v>
      </c>
      <c r="AA44" s="2">
        <v>0</v>
      </c>
      <c r="AB44" s="2">
        <f t="shared" si="0"/>
        <v>0</v>
      </c>
      <c r="AC44" s="2" t="s">
        <v>51</v>
      </c>
    </row>
    <row r="45" spans="1:29" ht="15.75" customHeight="1" x14ac:dyDescent="0.25">
      <c r="A45" s="9">
        <v>24</v>
      </c>
      <c r="B45" s="2" t="s">
        <v>30</v>
      </c>
      <c r="C45" s="2" t="s">
        <v>47</v>
      </c>
      <c r="D45" s="2" t="s">
        <v>67</v>
      </c>
      <c r="E45" s="2" t="s">
        <v>47</v>
      </c>
      <c r="F45" s="2">
        <v>2015</v>
      </c>
      <c r="G45" s="5">
        <v>42224</v>
      </c>
      <c r="H45" s="5" t="s">
        <v>36</v>
      </c>
      <c r="I45" s="12">
        <v>3.7930232558139538</v>
      </c>
      <c r="J45" s="12">
        <v>1.0742428892762459</v>
      </c>
      <c r="K45" s="12">
        <v>3.9046511627906977</v>
      </c>
      <c r="L45" s="12">
        <v>1.0681433576810464</v>
      </c>
      <c r="M45" s="12">
        <v>0.81860465116279069</v>
      </c>
      <c r="N45" s="12">
        <v>0.43329073817400648</v>
      </c>
      <c r="O45" s="12">
        <v>1.5</v>
      </c>
      <c r="P45" s="7">
        <v>5.2394819400000001E-2</v>
      </c>
      <c r="Q45" s="7">
        <f>P45/0.04</f>
        <v>1.309870485</v>
      </c>
      <c r="R45" s="2">
        <f>43/400</f>
        <v>0.1075</v>
      </c>
      <c r="S45" s="2">
        <f>43/0.04</f>
        <v>1075</v>
      </c>
      <c r="T45" s="7">
        <f>(S45/3450)*100</f>
        <v>31.159420289855071</v>
      </c>
      <c r="U45" s="7">
        <f>(43/138)*100</f>
        <v>31.159420289855071</v>
      </c>
      <c r="V45" s="7">
        <f>(P45/0.2049)*100</f>
        <v>25.570922108345535</v>
      </c>
      <c r="W45" s="9">
        <f t="shared" si="11"/>
        <v>87.889762688055669</v>
      </c>
      <c r="X45" s="7">
        <f t="shared" si="10"/>
        <v>0.54981813607874996</v>
      </c>
      <c r="Y45" s="7">
        <f>(3*100)/46</f>
        <v>6.5217391304347823</v>
      </c>
      <c r="Z45" s="8">
        <f>(10*100)/53</f>
        <v>18.867924528301888</v>
      </c>
      <c r="AA45" s="2">
        <f>5/4</f>
        <v>1.25</v>
      </c>
      <c r="AB45" s="2">
        <f t="shared" si="0"/>
        <v>12500</v>
      </c>
      <c r="AC45" s="2" t="s">
        <v>51</v>
      </c>
    </row>
    <row r="46" spans="1:29" ht="15.75" customHeight="1" x14ac:dyDescent="0.25">
      <c r="A46" s="9">
        <v>25</v>
      </c>
      <c r="B46" s="2" t="s">
        <v>30</v>
      </c>
      <c r="C46" s="2" t="s">
        <v>47</v>
      </c>
      <c r="D46" s="2" t="s">
        <v>68</v>
      </c>
      <c r="E46" s="2" t="s">
        <v>47</v>
      </c>
      <c r="F46" s="2">
        <v>2016</v>
      </c>
      <c r="G46" s="5">
        <v>42468</v>
      </c>
      <c r="H46" s="5" t="s">
        <v>31</v>
      </c>
      <c r="I46" s="13">
        <v>4.6363636363636402</v>
      </c>
      <c r="J46" s="13">
        <v>2.2397145695524556</v>
      </c>
      <c r="K46" s="13">
        <v>3.4431818181818183</v>
      </c>
      <c r="L46" s="13">
        <v>0.98462546940985185</v>
      </c>
      <c r="M46" s="13">
        <v>0.68704545454545463</v>
      </c>
      <c r="N46" s="13">
        <v>0.37190633695492548</v>
      </c>
      <c r="O46" s="13">
        <v>1.31</v>
      </c>
      <c r="P46" s="7">
        <v>9.1225780799999975E-2</v>
      </c>
      <c r="Q46" s="7">
        <f t="shared" ref="Q46:Q55" si="18">P46/0.04</f>
        <v>2.2806445199999992</v>
      </c>
      <c r="R46" s="11">
        <f>44/400</f>
        <v>0.11</v>
      </c>
      <c r="S46" s="2">
        <f>44/0.04</f>
        <v>1100</v>
      </c>
      <c r="T46" s="7">
        <f>(S46/3575)*100</f>
        <v>30.76923076923077</v>
      </c>
      <c r="U46" s="7">
        <f>(44/143)*100</f>
        <v>30.76923076923077</v>
      </c>
      <c r="V46" s="7">
        <f>(P46/0.2003)*100</f>
        <v>45.544573539690454</v>
      </c>
      <c r="W46" s="9">
        <f t="shared" si="11"/>
        <v>107.08303507815199</v>
      </c>
      <c r="X46" s="7">
        <f t="shared" si="10"/>
        <v>0.86379411194999978</v>
      </c>
      <c r="Y46" s="2">
        <v>0</v>
      </c>
      <c r="Z46" s="8">
        <f>(1*100)/45</f>
        <v>2.2222222222222223</v>
      </c>
      <c r="AA46" s="2">
        <f>10/4</f>
        <v>2.5</v>
      </c>
      <c r="AB46" s="2">
        <f t="shared" si="0"/>
        <v>25000</v>
      </c>
      <c r="AC46" s="2" t="s">
        <v>51</v>
      </c>
    </row>
    <row r="47" spans="1:29" ht="15.75" customHeight="1" x14ac:dyDescent="0.25">
      <c r="A47" s="9">
        <v>25</v>
      </c>
      <c r="B47" s="2" t="s">
        <v>30</v>
      </c>
      <c r="C47" s="2" t="s">
        <v>47</v>
      </c>
      <c r="D47" s="2" t="s">
        <v>68</v>
      </c>
      <c r="E47" s="2" t="s">
        <v>47</v>
      </c>
      <c r="F47" s="2">
        <v>2016</v>
      </c>
      <c r="G47" s="5">
        <v>42468</v>
      </c>
      <c r="H47" s="5" t="s">
        <v>36</v>
      </c>
      <c r="I47" s="13">
        <v>3.6561224489795929</v>
      </c>
      <c r="J47" s="13">
        <v>0.85651732206418485</v>
      </c>
      <c r="K47" s="13">
        <v>3.8112244897959187</v>
      </c>
      <c r="L47" s="13">
        <v>0.77829878621977855</v>
      </c>
      <c r="M47" s="13">
        <v>0.74</v>
      </c>
      <c r="N47" s="13">
        <v>0.34819309062793768</v>
      </c>
      <c r="O47" s="13">
        <v>1.05</v>
      </c>
      <c r="P47" s="7">
        <v>0.10847552100000002</v>
      </c>
      <c r="Q47" s="7">
        <f t="shared" si="18"/>
        <v>2.7118880250000004</v>
      </c>
      <c r="R47" s="11">
        <f>98/400</f>
        <v>0.245</v>
      </c>
      <c r="S47" s="2">
        <f>98/0.04</f>
        <v>2450</v>
      </c>
      <c r="T47" s="7">
        <f t="shared" ref="T47:T48" si="19">(S47/3575)*100</f>
        <v>68.531468531468533</v>
      </c>
      <c r="U47" s="7">
        <f>(98/143)*100</f>
        <v>68.531468531468533</v>
      </c>
      <c r="V47" s="7">
        <f t="shared" ref="V47:V48" si="20">(P47/0.2003)*100</f>
        <v>54.156525711432856</v>
      </c>
      <c r="W47" s="9">
        <f t="shared" si="11"/>
        <v>191.21946277436993</v>
      </c>
      <c r="X47" s="7">
        <f t="shared" si="10"/>
        <v>2.5322254433437505</v>
      </c>
      <c r="Y47" s="2">
        <v>0</v>
      </c>
      <c r="Z47" s="8">
        <f>(2*100)/100</f>
        <v>2</v>
      </c>
      <c r="AA47" s="2">
        <f>17/4</f>
        <v>4.25</v>
      </c>
      <c r="AB47" s="2">
        <f t="shared" si="0"/>
        <v>42500</v>
      </c>
      <c r="AC47" s="2" t="s">
        <v>51</v>
      </c>
    </row>
    <row r="48" spans="1:29" ht="15.75" customHeight="1" x14ac:dyDescent="0.25">
      <c r="A48" s="9">
        <v>25</v>
      </c>
      <c r="B48" s="2" t="s">
        <v>30</v>
      </c>
      <c r="C48" s="2" t="s">
        <v>47</v>
      </c>
      <c r="D48" s="2" t="s">
        <v>68</v>
      </c>
      <c r="E48" s="2" t="s">
        <v>47</v>
      </c>
      <c r="F48" s="2">
        <v>2016</v>
      </c>
      <c r="G48" s="5">
        <v>42468</v>
      </c>
      <c r="H48" s="5" t="s">
        <v>41</v>
      </c>
      <c r="I48" s="13">
        <v>2.7</v>
      </c>
      <c r="J48" s="13" t="s">
        <v>51</v>
      </c>
      <c r="K48" s="13">
        <v>1.2</v>
      </c>
      <c r="L48" s="7" t="s">
        <v>51</v>
      </c>
      <c r="M48" s="13">
        <v>0.1</v>
      </c>
      <c r="N48" s="7" t="s">
        <v>51</v>
      </c>
      <c r="O48" s="13">
        <v>1.1299999999999999</v>
      </c>
      <c r="P48" s="7">
        <v>5.7255660000000009E-4</v>
      </c>
      <c r="Q48" s="7">
        <f t="shared" si="18"/>
        <v>1.4313915000000002E-2</v>
      </c>
      <c r="R48" s="11">
        <f>1/400</f>
        <v>2.5000000000000001E-3</v>
      </c>
      <c r="S48" s="2">
        <f>1/0.04</f>
        <v>25</v>
      </c>
      <c r="T48" s="7">
        <f t="shared" si="19"/>
        <v>0.69930069930069927</v>
      </c>
      <c r="U48" s="7">
        <f>(1/143)*100</f>
        <v>0.69930069930069927</v>
      </c>
      <c r="V48" s="7">
        <f t="shared" si="20"/>
        <v>0.28584952571143291</v>
      </c>
      <c r="W48" s="9">
        <f t="shared" si="11"/>
        <v>1.6844509243128314</v>
      </c>
      <c r="X48" s="7">
        <f t="shared" si="10"/>
        <v>4.2941745000000006E-5</v>
      </c>
      <c r="Y48" s="2">
        <v>0</v>
      </c>
      <c r="Z48" s="9">
        <v>0</v>
      </c>
      <c r="AA48" s="2">
        <f>1/4</f>
        <v>0.25</v>
      </c>
      <c r="AB48" s="2">
        <f t="shared" si="0"/>
        <v>2500</v>
      </c>
      <c r="AC48" s="2" t="s">
        <v>51</v>
      </c>
    </row>
    <row r="49" spans="1:29" ht="15.75" customHeight="1" x14ac:dyDescent="0.25">
      <c r="A49" s="9">
        <v>26</v>
      </c>
      <c r="B49" s="2" t="s">
        <v>30</v>
      </c>
      <c r="C49" s="2" t="s">
        <v>48</v>
      </c>
      <c r="D49" s="2" t="s">
        <v>69</v>
      </c>
      <c r="E49" s="2" t="s">
        <v>48</v>
      </c>
      <c r="F49" s="2">
        <v>2015</v>
      </c>
      <c r="G49" s="19">
        <v>42076</v>
      </c>
      <c r="H49" s="5" t="s">
        <v>31</v>
      </c>
      <c r="I49" s="13">
        <v>20.569999999999997</v>
      </c>
      <c r="J49" s="13">
        <v>11.556436398052048</v>
      </c>
      <c r="K49" s="13">
        <v>10.295</v>
      </c>
      <c r="L49" s="13">
        <v>3.7849445908170911</v>
      </c>
      <c r="M49" s="13">
        <v>2.72</v>
      </c>
      <c r="N49" s="13">
        <v>0.84957505717727944</v>
      </c>
      <c r="O49" s="13">
        <v>4.82</v>
      </c>
      <c r="P49" s="7">
        <v>0.42672431339999994</v>
      </c>
      <c r="Q49" s="7">
        <f t="shared" si="18"/>
        <v>10.668107834999999</v>
      </c>
      <c r="R49" s="11">
        <f>(10/400)</f>
        <v>2.5000000000000001E-2</v>
      </c>
      <c r="S49" s="2">
        <f>10/0.04</f>
        <v>250</v>
      </c>
      <c r="T49" s="7">
        <f>(S49/750)*100</f>
        <v>33.333333333333329</v>
      </c>
      <c r="U49" s="7">
        <f>(10/30)*100</f>
        <v>33.333333333333329</v>
      </c>
      <c r="V49" s="7">
        <f>(P49/SUM(P49:P50))*100</f>
        <v>42.884949172288529</v>
      </c>
      <c r="W49" s="9">
        <f t="shared" si="11"/>
        <v>109.55161583895519</v>
      </c>
      <c r="X49" s="7">
        <f t="shared" si="10"/>
        <v>2.7457042540331247</v>
      </c>
      <c r="Y49" s="2">
        <v>0</v>
      </c>
      <c r="Z49" s="8">
        <f>(1*100)/11</f>
        <v>9.0909090909090917</v>
      </c>
      <c r="AA49" s="2">
        <f>25/4</f>
        <v>6.25</v>
      </c>
      <c r="AB49" s="2">
        <f t="shared" si="0"/>
        <v>62500</v>
      </c>
      <c r="AC49" s="2" t="s">
        <v>51</v>
      </c>
    </row>
    <row r="50" spans="1:29" ht="15.75" customHeight="1" x14ac:dyDescent="0.25">
      <c r="A50" s="9">
        <v>26</v>
      </c>
      <c r="B50" s="2" t="s">
        <v>30</v>
      </c>
      <c r="C50" s="2" t="s">
        <v>48</v>
      </c>
      <c r="D50" s="2" t="s">
        <v>69</v>
      </c>
      <c r="E50" s="2" t="s">
        <v>48</v>
      </c>
      <c r="F50" s="2">
        <v>2015</v>
      </c>
      <c r="G50" s="19">
        <v>42076</v>
      </c>
      <c r="H50" s="5" t="s">
        <v>36</v>
      </c>
      <c r="I50" s="13">
        <v>18.260000000000002</v>
      </c>
      <c r="J50" s="13">
        <v>6.6325839301620055</v>
      </c>
      <c r="K50" s="13">
        <v>10.526315789473685</v>
      </c>
      <c r="L50" s="13">
        <v>1.9541528728050932</v>
      </c>
      <c r="M50" s="13">
        <v>2.4815789473684209</v>
      </c>
      <c r="N50" s="13">
        <v>0.99334039794968088</v>
      </c>
      <c r="O50" s="13">
        <v>4.26</v>
      </c>
      <c r="P50" s="7">
        <v>0.56832015240000011</v>
      </c>
      <c r="Q50" s="7">
        <f t="shared" si="18"/>
        <v>14.208003810000003</v>
      </c>
      <c r="R50" s="11">
        <f>20/400</f>
        <v>0.05</v>
      </c>
      <c r="S50" s="2">
        <f>20/0.04</f>
        <v>500</v>
      </c>
      <c r="T50" s="7">
        <f>(S50/750)*100</f>
        <v>66.666666666666657</v>
      </c>
      <c r="U50" s="7">
        <f>(20/30)*100</f>
        <v>66.666666666666657</v>
      </c>
      <c r="V50" s="7">
        <f>(P50/SUM(P49:P50))*100</f>
        <v>57.115050827711464</v>
      </c>
      <c r="W50" s="9">
        <f t="shared" si="11"/>
        <v>190.44838416104477</v>
      </c>
      <c r="X50" s="7">
        <f t="shared" si="10"/>
        <v>7.4778967421052647</v>
      </c>
      <c r="Y50" s="2">
        <v>0</v>
      </c>
      <c r="Z50" s="8">
        <f>(4*100)/24</f>
        <v>16.666666666666668</v>
      </c>
      <c r="AA50" s="2">
        <f>3/4</f>
        <v>0.75</v>
      </c>
      <c r="AB50" s="2">
        <f>AA50*10000</f>
        <v>7500</v>
      </c>
      <c r="AC50" s="2" t="s">
        <v>51</v>
      </c>
    </row>
    <row r="51" spans="1:29" ht="15.75" customHeight="1" x14ac:dyDescent="0.25">
      <c r="A51" s="9">
        <v>27</v>
      </c>
      <c r="B51" s="2" t="s">
        <v>30</v>
      </c>
      <c r="C51" s="2" t="s">
        <v>48</v>
      </c>
      <c r="D51" s="2" t="s">
        <v>70</v>
      </c>
      <c r="E51" s="2" t="s">
        <v>48</v>
      </c>
      <c r="F51" s="2">
        <v>2015</v>
      </c>
      <c r="G51" s="5">
        <v>42181</v>
      </c>
      <c r="H51" s="5" t="s">
        <v>31</v>
      </c>
      <c r="I51" s="13">
        <v>4.4666666666666668</v>
      </c>
      <c r="J51" s="13">
        <v>1.2662279942148389</v>
      </c>
      <c r="K51" s="13">
        <v>3.8333333333333335</v>
      </c>
      <c r="L51" s="13">
        <v>1.7559422921421235</v>
      </c>
      <c r="M51" s="13">
        <v>0.8</v>
      </c>
      <c r="N51" s="13">
        <v>0.62449979983983994</v>
      </c>
      <c r="O51" s="13">
        <v>1.6</v>
      </c>
      <c r="P51" s="7">
        <v>4.9527324000000006E-3</v>
      </c>
      <c r="Q51" s="7">
        <f t="shared" si="18"/>
        <v>0.12381831000000001</v>
      </c>
      <c r="R51" s="2">
        <f>3/400</f>
        <v>7.4999999999999997E-3</v>
      </c>
      <c r="S51" s="2">
        <f>3/0.04</f>
        <v>75</v>
      </c>
      <c r="T51" s="7">
        <f>(S51/5600)*100</f>
        <v>1.3392857142857142</v>
      </c>
      <c r="U51" s="7">
        <f>(3/224)*100</f>
        <v>1.3392857142857142</v>
      </c>
      <c r="V51" s="7">
        <f>(P51/SUM(P51:P52))*100</f>
        <v>0.24796293689410098</v>
      </c>
      <c r="W51" s="9">
        <f t="shared" si="11"/>
        <v>2.9265343654655291</v>
      </c>
      <c r="X51" s="7">
        <f t="shared" si="10"/>
        <v>3.5597764125000005E-3</v>
      </c>
      <c r="Y51" s="2">
        <v>0</v>
      </c>
      <c r="Z51" s="9">
        <v>0</v>
      </c>
      <c r="AA51" s="2">
        <v>0</v>
      </c>
      <c r="AB51" s="2">
        <f t="shared" si="0"/>
        <v>0</v>
      </c>
      <c r="AC51" s="2" t="s">
        <v>51</v>
      </c>
    </row>
    <row r="52" spans="1:29" ht="15.75" customHeight="1" x14ac:dyDescent="0.25">
      <c r="A52" s="9">
        <v>27</v>
      </c>
      <c r="B52" s="2" t="s">
        <v>30</v>
      </c>
      <c r="C52" s="2" t="s">
        <v>48</v>
      </c>
      <c r="D52" s="2" t="s">
        <v>70</v>
      </c>
      <c r="E52" s="2" t="s">
        <v>48</v>
      </c>
      <c r="F52" s="2">
        <v>2015</v>
      </c>
      <c r="G52" s="5">
        <v>42181</v>
      </c>
      <c r="H52" s="5" t="s">
        <v>36</v>
      </c>
      <c r="I52" s="13">
        <v>10.215384615384615</v>
      </c>
      <c r="J52" s="13">
        <v>3.2374988187486036</v>
      </c>
      <c r="K52" s="13">
        <v>9.4054298642533922</v>
      </c>
      <c r="L52" s="13">
        <v>2.6756931847508714</v>
      </c>
      <c r="M52" s="13">
        <v>1.6966063348416289</v>
      </c>
      <c r="N52" s="13">
        <v>1.2565825855562871</v>
      </c>
      <c r="O52" s="13">
        <v>1.89</v>
      </c>
      <c r="P52" s="7">
        <v>1.9924152864000004</v>
      </c>
      <c r="Q52" s="7">
        <f t="shared" si="18"/>
        <v>49.81038216000001</v>
      </c>
      <c r="R52" s="2">
        <f>221/400</f>
        <v>0.55249999999999999</v>
      </c>
      <c r="S52" s="2">
        <f>221/0.04</f>
        <v>5525</v>
      </c>
      <c r="T52" s="7">
        <f>(S52/5600)*100</f>
        <v>98.660714285714292</v>
      </c>
      <c r="U52" s="7">
        <f>(221/224)*100</f>
        <v>98.660714285714292</v>
      </c>
      <c r="V52" s="7">
        <f>(P52/SUM(P51:P52))*100</f>
        <v>99.752037063105888</v>
      </c>
      <c r="W52" s="9">
        <f t="shared" si="11"/>
        <v>297.0734656345345</v>
      </c>
      <c r="X52" s="7">
        <f>1*S52*Q52*K52/10000</f>
        <v>258.83965089444001</v>
      </c>
      <c r="Y52" s="7">
        <f>(9*100)/230</f>
        <v>3.9130434782608696</v>
      </c>
      <c r="Z52" s="8">
        <f>(36*100)/257</f>
        <v>14.007782101167315</v>
      </c>
      <c r="AA52" s="2">
        <v>0</v>
      </c>
      <c r="AB52" s="2">
        <f t="shared" si="0"/>
        <v>0</v>
      </c>
      <c r="AC52" s="2" t="s">
        <v>51</v>
      </c>
    </row>
    <row r="53" spans="1:29" ht="15.75" customHeight="1" x14ac:dyDescent="0.25">
      <c r="A53" s="9">
        <v>28</v>
      </c>
      <c r="B53" s="2" t="s">
        <v>30</v>
      </c>
      <c r="C53" s="2" t="s">
        <v>48</v>
      </c>
      <c r="D53" s="2" t="s">
        <v>71</v>
      </c>
      <c r="E53" s="2" t="s">
        <v>48</v>
      </c>
      <c r="F53" s="2">
        <v>2015</v>
      </c>
      <c r="G53" s="5">
        <v>42075</v>
      </c>
      <c r="H53" s="5" t="s">
        <v>31</v>
      </c>
      <c r="I53" s="13">
        <v>15.7</v>
      </c>
      <c r="J53" s="13">
        <v>8.2024386617639511</v>
      </c>
      <c r="K53" s="13">
        <v>11</v>
      </c>
      <c r="L53" s="13">
        <v>1.4142135623731</v>
      </c>
      <c r="M53" s="13">
        <v>2.6500000000000004</v>
      </c>
      <c r="N53" s="13">
        <v>1.2020815280171309</v>
      </c>
      <c r="O53" s="13">
        <v>5.5</v>
      </c>
      <c r="P53" s="7">
        <v>4.4002820400000003E-2</v>
      </c>
      <c r="Q53" s="7">
        <f t="shared" si="18"/>
        <v>1.1000705100000001</v>
      </c>
      <c r="R53" s="11">
        <f>2/400</f>
        <v>5.0000000000000001E-3</v>
      </c>
      <c r="S53" s="2">
        <f>2/0.04</f>
        <v>50</v>
      </c>
      <c r="T53" s="7">
        <f>(S53/1750)*100</f>
        <v>2.8571428571428572</v>
      </c>
      <c r="U53" s="7">
        <f>(2/70)*100</f>
        <v>2.8571428571428572</v>
      </c>
      <c r="V53" s="7">
        <f>(P53/0.443989)*100</f>
        <v>9.9107906727418928</v>
      </c>
      <c r="W53" s="9">
        <f t="shared" si="11"/>
        <v>15.625076387027608</v>
      </c>
      <c r="X53" s="7">
        <f t="shared" ref="X53:X58" si="21">1*S53*Q53*K53/10000</f>
        <v>6.0503878050000015E-2</v>
      </c>
      <c r="Y53" s="8">
        <f>(1*100)/3</f>
        <v>33.333333333333336</v>
      </c>
      <c r="Z53" s="9">
        <v>0</v>
      </c>
      <c r="AA53" s="2">
        <v>0</v>
      </c>
      <c r="AB53" s="2">
        <f t="shared" si="0"/>
        <v>0</v>
      </c>
      <c r="AC53" s="2" t="s">
        <v>51</v>
      </c>
    </row>
    <row r="54" spans="1:29" ht="15.75" customHeight="1" x14ac:dyDescent="0.25">
      <c r="A54" s="9">
        <v>28</v>
      </c>
      <c r="B54" s="2" t="s">
        <v>30</v>
      </c>
      <c r="C54" s="2" t="s">
        <v>48</v>
      </c>
      <c r="D54" s="2" t="s">
        <v>71</v>
      </c>
      <c r="E54" s="2" t="s">
        <v>48</v>
      </c>
      <c r="F54" s="2">
        <v>2015</v>
      </c>
      <c r="G54" s="5">
        <v>42075</v>
      </c>
      <c r="H54" s="5" t="s">
        <v>36</v>
      </c>
      <c r="I54" s="13">
        <v>8.1426470588235293</v>
      </c>
      <c r="J54" s="13">
        <v>2.9528289585832659</v>
      </c>
      <c r="K54" s="13">
        <v>8.7941176470588243</v>
      </c>
      <c r="L54" s="13">
        <v>1.8492339965543281</v>
      </c>
      <c r="M54" s="13">
        <v>5.6911764705882337</v>
      </c>
      <c r="N54" s="13">
        <v>1.7676812786024763</v>
      </c>
      <c r="O54" s="13">
        <v>2.4500000000000002</v>
      </c>
      <c r="P54" s="7">
        <v>0.39998615580000013</v>
      </c>
      <c r="Q54" s="7">
        <f>P54/0.04</f>
        <v>9.9996538950000033</v>
      </c>
      <c r="R54" s="11">
        <f>68/400</f>
        <v>0.17</v>
      </c>
      <c r="S54" s="2">
        <f>68/0.04</f>
        <v>1700</v>
      </c>
      <c r="T54" s="7">
        <f>(S54/1750)*100</f>
        <v>97.142857142857139</v>
      </c>
      <c r="U54" s="7">
        <f>(68/70)*100</f>
        <v>97.142857142857139</v>
      </c>
      <c r="V54" s="7">
        <f>(P54/0.443989)*100</f>
        <v>90.08920396676497</v>
      </c>
      <c r="W54" s="9">
        <f>T54+U54+V54</f>
        <v>284.37491825247923</v>
      </c>
      <c r="X54" s="7">
        <f t="shared" si="21"/>
        <v>14.949482573025007</v>
      </c>
      <c r="Y54" s="8">
        <f>(1*100)/69</f>
        <v>1.4492753623188406</v>
      </c>
      <c r="Z54" s="8">
        <f>(1*100)/69</f>
        <v>1.4492753623188406</v>
      </c>
      <c r="AA54" s="2">
        <v>0</v>
      </c>
      <c r="AB54" s="2">
        <f t="shared" si="0"/>
        <v>0</v>
      </c>
      <c r="AC54" s="2" t="s">
        <v>51</v>
      </c>
    </row>
    <row r="55" spans="1:29" ht="15.75" customHeight="1" x14ac:dyDescent="0.25">
      <c r="A55" s="9">
        <v>30</v>
      </c>
      <c r="B55" s="2" t="s">
        <v>30</v>
      </c>
      <c r="C55" s="2" t="s">
        <v>48</v>
      </c>
      <c r="D55" s="2" t="s">
        <v>50</v>
      </c>
      <c r="E55" s="2" t="s">
        <v>48</v>
      </c>
      <c r="F55" s="2">
        <v>2016</v>
      </c>
      <c r="G55" s="5">
        <v>42499</v>
      </c>
      <c r="H55" s="5" t="s">
        <v>31</v>
      </c>
      <c r="I55" s="13">
        <v>15.29032258064516</v>
      </c>
      <c r="J55" s="13">
        <v>5.1264903419207188</v>
      </c>
      <c r="K55" s="13">
        <v>8.5322580645161317</v>
      </c>
      <c r="L55" s="13">
        <v>1.8838589998146877</v>
      </c>
      <c r="M55" s="13">
        <v>1.0758000000000001</v>
      </c>
      <c r="N55" s="13">
        <v>0.66556629618968532</v>
      </c>
      <c r="O55" s="13">
        <v>3.44</v>
      </c>
      <c r="P55" s="7">
        <v>0.63115058159999982</v>
      </c>
      <c r="Q55" s="7">
        <f t="shared" si="18"/>
        <v>15.778764539999996</v>
      </c>
      <c r="R55" s="2">
        <f>31/400</f>
        <v>7.7499999999999999E-2</v>
      </c>
      <c r="S55" s="2">
        <f>31/0.04</f>
        <v>775</v>
      </c>
      <c r="T55" s="7">
        <f>(S55/825)*100</f>
        <v>93.939393939393938</v>
      </c>
      <c r="U55" s="7">
        <f>(31/33)*100</f>
        <v>93.939393939393938</v>
      </c>
      <c r="V55" s="7">
        <f>(P55/0.6559)*100</f>
        <v>96.226647598719282</v>
      </c>
      <c r="W55" s="9">
        <f t="shared" si="11"/>
        <v>284.10543547750717</v>
      </c>
      <c r="X55" s="7">
        <f t="shared" si="21"/>
        <v>10.433708052075001</v>
      </c>
      <c r="Y55" s="2">
        <v>0</v>
      </c>
      <c r="Z55" s="8">
        <f>(2*100)/33</f>
        <v>6.0606060606060606</v>
      </c>
      <c r="AA55" s="2">
        <f>2/4</f>
        <v>0.5</v>
      </c>
      <c r="AB55" s="2">
        <f t="shared" si="0"/>
        <v>5000</v>
      </c>
      <c r="AC55" s="2" t="s">
        <v>51</v>
      </c>
    </row>
    <row r="56" spans="1:29" ht="15.75" customHeight="1" x14ac:dyDescent="0.25">
      <c r="A56" s="9">
        <v>30</v>
      </c>
      <c r="B56" s="2" t="s">
        <v>30</v>
      </c>
      <c r="C56" s="2" t="s">
        <v>48</v>
      </c>
      <c r="D56" s="2" t="s">
        <v>50</v>
      </c>
      <c r="E56" s="2" t="s">
        <v>48</v>
      </c>
      <c r="F56" s="2">
        <v>2016</v>
      </c>
      <c r="G56" s="5">
        <v>42499</v>
      </c>
      <c r="H56" s="5" t="s">
        <v>36</v>
      </c>
      <c r="I56" s="13">
        <v>12.549999999999999</v>
      </c>
      <c r="J56" s="13">
        <v>0.63639610306789296</v>
      </c>
      <c r="K56" s="13">
        <v>9.5</v>
      </c>
      <c r="L56" s="13">
        <v>0.70710678118654757</v>
      </c>
      <c r="M56" s="13">
        <v>0.42499999999999999</v>
      </c>
      <c r="N56" s="13">
        <v>3.5355339059327369E-2</v>
      </c>
      <c r="O56" s="13">
        <v>3.1</v>
      </c>
      <c r="P56" s="7">
        <v>2.4772301399999998E-2</v>
      </c>
      <c r="Q56" s="7">
        <f t="shared" ref="Q56:Q87" si="22">P56/0.04</f>
        <v>0.61930753499999991</v>
      </c>
      <c r="R56" s="2">
        <f>2/400</f>
        <v>5.0000000000000001E-3</v>
      </c>
      <c r="S56" s="2">
        <f>2/0.04</f>
        <v>50</v>
      </c>
      <c r="T56" s="7">
        <f>(S56/825)*100</f>
        <v>6.0606060606060606</v>
      </c>
      <c r="U56" s="7">
        <f>(2/33)*100</f>
        <v>6.0606060606060606</v>
      </c>
      <c r="V56" s="7">
        <f>(P56/0.6559)*100</f>
        <v>3.7768411953041618</v>
      </c>
      <c r="W56" s="9">
        <f t="shared" si="11"/>
        <v>15.898053316516283</v>
      </c>
      <c r="X56" s="7">
        <f t="shared" si="21"/>
        <v>2.9417107912499994E-2</v>
      </c>
      <c r="Y56" s="2">
        <v>0</v>
      </c>
      <c r="Z56" s="8">
        <f>(1*100)/3</f>
        <v>33.333333333333336</v>
      </c>
      <c r="AA56" s="2">
        <v>0</v>
      </c>
      <c r="AB56" s="2">
        <f t="shared" si="0"/>
        <v>0</v>
      </c>
      <c r="AC56" s="2" t="s">
        <v>51</v>
      </c>
    </row>
    <row r="57" spans="1:29" ht="15.75" customHeight="1" x14ac:dyDescent="0.25">
      <c r="A57" s="9">
        <v>29</v>
      </c>
      <c r="B57" s="2" t="s">
        <v>30</v>
      </c>
      <c r="C57" s="2" t="s">
        <v>48</v>
      </c>
      <c r="D57" s="2" t="s">
        <v>49</v>
      </c>
      <c r="E57" s="2" t="s">
        <v>48</v>
      </c>
      <c r="F57" s="2">
        <v>2016</v>
      </c>
      <c r="G57" s="5">
        <v>42444</v>
      </c>
      <c r="H57" s="5" t="s">
        <v>31</v>
      </c>
      <c r="I57" s="13">
        <v>8.1905660377358487</v>
      </c>
      <c r="J57" s="13">
        <v>4.0472813358971367</v>
      </c>
      <c r="K57" s="13">
        <v>4.5288461538461533</v>
      </c>
      <c r="L57" s="13">
        <v>1.8325690010710376</v>
      </c>
      <c r="M57" s="13">
        <v>1.611320754716981</v>
      </c>
      <c r="N57" s="13">
        <v>0.55562175061210994</v>
      </c>
      <c r="O57" s="13">
        <v>2.09</v>
      </c>
      <c r="P57" s="15">
        <v>0.34615012740000001</v>
      </c>
      <c r="Q57" s="7">
        <f t="shared" si="22"/>
        <v>8.6537531849999993</v>
      </c>
      <c r="R57" s="2">
        <f>53/400</f>
        <v>0.13250000000000001</v>
      </c>
      <c r="S57" s="2">
        <f>53/0.04</f>
        <v>1325</v>
      </c>
      <c r="T57" s="9">
        <f>(S57/1325)*100</f>
        <v>100</v>
      </c>
      <c r="U57" s="9">
        <f>(53/53)*100</f>
        <v>100</v>
      </c>
      <c r="V57" s="9">
        <f t="shared" ref="V57:V63" si="23">(P57/P57)*100</f>
        <v>100</v>
      </c>
      <c r="W57" s="9">
        <f>T57+U57+V57</f>
        <v>300</v>
      </c>
      <c r="X57" s="7">
        <f t="shared" si="21"/>
        <v>5.192875979739302</v>
      </c>
      <c r="Y57" s="2">
        <v>0</v>
      </c>
      <c r="Z57" s="8">
        <f>(1*100)/54</f>
        <v>1.8518518518518519</v>
      </c>
      <c r="AA57" s="2">
        <f>2/4</f>
        <v>0.5</v>
      </c>
      <c r="AB57" s="2">
        <f t="shared" si="0"/>
        <v>5000</v>
      </c>
      <c r="AC57" s="2" t="s">
        <v>51</v>
      </c>
    </row>
    <row r="58" spans="1:29" ht="15.75" customHeight="1" x14ac:dyDescent="0.25">
      <c r="A58" s="9">
        <v>1</v>
      </c>
      <c r="B58" s="2" t="s">
        <v>30</v>
      </c>
      <c r="C58" s="2" t="s">
        <v>32</v>
      </c>
      <c r="D58" s="2" t="s">
        <v>35</v>
      </c>
      <c r="E58" s="2" t="s">
        <v>32</v>
      </c>
      <c r="F58" s="2">
        <v>2018</v>
      </c>
      <c r="G58" s="5">
        <v>43118</v>
      </c>
      <c r="H58" s="5" t="s">
        <v>31</v>
      </c>
      <c r="I58" s="15">
        <v>6.6</v>
      </c>
      <c r="J58" s="7">
        <v>3.198</v>
      </c>
      <c r="K58" s="13">
        <v>4.4400000000000004</v>
      </c>
      <c r="L58" s="7">
        <v>2.09</v>
      </c>
      <c r="M58" s="7">
        <v>0.74</v>
      </c>
      <c r="N58" s="13">
        <v>0.41199999999999998</v>
      </c>
      <c r="O58" s="13">
        <v>1.59</v>
      </c>
      <c r="P58" s="7">
        <v>0.29399999999999998</v>
      </c>
      <c r="Q58" s="7">
        <f t="shared" si="22"/>
        <v>7.35</v>
      </c>
      <c r="R58" s="2">
        <f>69/400</f>
        <v>0.17249999999999999</v>
      </c>
      <c r="S58" s="2">
        <f>69/0.04</f>
        <v>1725</v>
      </c>
      <c r="T58" s="9">
        <f>(S58/1725)*100</f>
        <v>100</v>
      </c>
      <c r="U58" s="9">
        <f>(69/69)*100</f>
        <v>100</v>
      </c>
      <c r="V58" s="9">
        <f t="shared" si="23"/>
        <v>100</v>
      </c>
      <c r="W58" s="9">
        <f t="shared" ref="W58:W113" si="24">T58+U58+V58</f>
        <v>300</v>
      </c>
      <c r="X58" s="7">
        <f t="shared" si="21"/>
        <v>5.629365</v>
      </c>
      <c r="Y58" s="2">
        <v>0</v>
      </c>
      <c r="Z58" s="8">
        <f>(20*100)/89</f>
        <v>22.471910112359552</v>
      </c>
      <c r="AA58" s="2">
        <f>2/4</f>
        <v>0.5</v>
      </c>
      <c r="AB58" s="2">
        <f t="shared" si="0"/>
        <v>5000</v>
      </c>
      <c r="AC58" s="2" t="s">
        <v>51</v>
      </c>
    </row>
    <row r="59" spans="1:29" ht="15.75" customHeight="1" x14ac:dyDescent="0.25">
      <c r="A59" s="9">
        <v>2</v>
      </c>
      <c r="B59" s="2" t="s">
        <v>30</v>
      </c>
      <c r="C59" s="2" t="s">
        <v>32</v>
      </c>
      <c r="D59" s="2" t="s">
        <v>37</v>
      </c>
      <c r="E59" s="2" t="s">
        <v>32</v>
      </c>
      <c r="F59" s="2">
        <v>2018</v>
      </c>
      <c r="G59" s="5">
        <v>43117</v>
      </c>
      <c r="H59" s="5" t="s">
        <v>31</v>
      </c>
      <c r="I59" s="15">
        <v>5.1082706766917321</v>
      </c>
      <c r="J59" s="7">
        <v>1.9504873172271406</v>
      </c>
      <c r="K59" s="7">
        <v>1.8827067669172939</v>
      </c>
      <c r="L59" s="7">
        <v>1.0811407610395292</v>
      </c>
      <c r="M59" s="7">
        <v>0.22278000000000001</v>
      </c>
      <c r="N59" s="7">
        <v>0.15433313723133035</v>
      </c>
      <c r="O59" s="13">
        <v>1.1000000000000001</v>
      </c>
      <c r="P59" s="7">
        <v>0.312</v>
      </c>
      <c r="Q59" s="7">
        <f t="shared" si="22"/>
        <v>7.8</v>
      </c>
      <c r="R59" s="2">
        <f>133/400</f>
        <v>0.33250000000000002</v>
      </c>
      <c r="S59" s="2">
        <f>133/0.04</f>
        <v>3325</v>
      </c>
      <c r="T59" s="9">
        <f>(S59/3325)*100</f>
        <v>100</v>
      </c>
      <c r="U59" s="9">
        <f>(133/133)*100</f>
        <v>100</v>
      </c>
      <c r="V59" s="9">
        <f t="shared" si="23"/>
        <v>100</v>
      </c>
      <c r="W59" s="9">
        <f t="shared" si="24"/>
        <v>300</v>
      </c>
      <c r="X59" s="7">
        <f t="shared" ref="X59:X90" si="25">1*S59*Q59*K59/10000</f>
        <v>4.8828000000000014</v>
      </c>
      <c r="Y59" s="2">
        <v>0</v>
      </c>
      <c r="Z59" s="8">
        <f>(3*100)/136</f>
        <v>2.2058823529411766</v>
      </c>
      <c r="AA59" s="2">
        <f>15/4</f>
        <v>3.75</v>
      </c>
      <c r="AB59" s="2">
        <f t="shared" si="0"/>
        <v>37500</v>
      </c>
      <c r="AC59" s="2" t="s">
        <v>51</v>
      </c>
    </row>
    <row r="60" spans="1:29" ht="15.75" customHeight="1" x14ac:dyDescent="0.25">
      <c r="A60" s="9">
        <v>3</v>
      </c>
      <c r="B60" s="2" t="s">
        <v>30</v>
      </c>
      <c r="C60" s="2" t="s">
        <v>32</v>
      </c>
      <c r="D60" s="2" t="s">
        <v>33</v>
      </c>
      <c r="E60" s="2" t="s">
        <v>32</v>
      </c>
      <c r="F60" s="2">
        <v>2018</v>
      </c>
      <c r="G60" s="5">
        <v>43115</v>
      </c>
      <c r="H60" s="5" t="s">
        <v>31</v>
      </c>
      <c r="I60" s="15">
        <v>6.24</v>
      </c>
      <c r="J60" s="7">
        <v>3.21</v>
      </c>
      <c r="K60" s="7">
        <v>3.8613445378151261</v>
      </c>
      <c r="L60" s="15">
        <v>1.1930667820325076</v>
      </c>
      <c r="M60" s="7">
        <v>1.55</v>
      </c>
      <c r="N60" s="7">
        <v>0.34436098703101625</v>
      </c>
      <c r="O60" s="13">
        <v>1.76</v>
      </c>
      <c r="P60" s="7">
        <v>0.45900000000000002</v>
      </c>
      <c r="Q60" s="7">
        <f t="shared" si="22"/>
        <v>11.475</v>
      </c>
      <c r="R60" s="2">
        <f>119/400</f>
        <v>0.29749999999999999</v>
      </c>
      <c r="S60" s="2">
        <f>119/0.04</f>
        <v>2975</v>
      </c>
      <c r="T60" s="9">
        <f>(S60/2975)*100</f>
        <v>100</v>
      </c>
      <c r="U60" s="9">
        <f>(119/119)*100</f>
        <v>100</v>
      </c>
      <c r="V60" s="9">
        <f t="shared" si="23"/>
        <v>100</v>
      </c>
      <c r="W60" s="9">
        <f t="shared" si="24"/>
        <v>300</v>
      </c>
      <c r="X60" s="7">
        <f t="shared" si="25"/>
        <v>13.181906250000001</v>
      </c>
      <c r="Y60" s="2">
        <v>0</v>
      </c>
      <c r="Z60" s="8">
        <f>(4*100)/123</f>
        <v>3.2520325203252032</v>
      </c>
      <c r="AA60" s="2">
        <v>0</v>
      </c>
      <c r="AB60" s="2">
        <f t="shared" si="0"/>
        <v>0</v>
      </c>
      <c r="AC60" s="2" t="s">
        <v>51</v>
      </c>
    </row>
    <row r="61" spans="1:29" ht="15.75" customHeight="1" x14ac:dyDescent="0.25">
      <c r="A61" s="9">
        <v>4</v>
      </c>
      <c r="B61" s="2" t="s">
        <v>30</v>
      </c>
      <c r="C61" s="2" t="s">
        <v>32</v>
      </c>
      <c r="D61" s="2" t="s">
        <v>38</v>
      </c>
      <c r="E61" s="2" t="s">
        <v>32</v>
      </c>
      <c r="F61" s="2">
        <v>2018</v>
      </c>
      <c r="G61" s="5">
        <v>43119</v>
      </c>
      <c r="H61" s="5" t="s">
        <v>31</v>
      </c>
      <c r="I61" s="15">
        <v>5.12</v>
      </c>
      <c r="J61" s="7">
        <v>2.4900000000000002</v>
      </c>
      <c r="K61" s="7">
        <v>3.48</v>
      </c>
      <c r="L61" s="7">
        <v>1.51</v>
      </c>
      <c r="M61" s="7">
        <v>0.64</v>
      </c>
      <c r="N61" s="7">
        <v>0.39181259260673101</v>
      </c>
      <c r="O61" s="13">
        <v>1.43</v>
      </c>
      <c r="P61" s="7">
        <v>0.30549999999999999</v>
      </c>
      <c r="Q61" s="7">
        <f t="shared" si="22"/>
        <v>7.6374999999999993</v>
      </c>
      <c r="R61" s="2">
        <f>120/400</f>
        <v>0.3</v>
      </c>
      <c r="S61" s="9">
        <f>120/0.04</f>
        <v>3000</v>
      </c>
      <c r="T61" s="9">
        <f>(S61/3000)*100</f>
        <v>100</v>
      </c>
      <c r="U61" s="9">
        <f>(120/120)*100</f>
        <v>100</v>
      </c>
      <c r="V61" s="9">
        <f t="shared" si="23"/>
        <v>100</v>
      </c>
      <c r="W61" s="9">
        <f t="shared" si="24"/>
        <v>300</v>
      </c>
      <c r="X61" s="7">
        <f>1*S61*Q61*K61/10000</f>
        <v>7.9735499999999986</v>
      </c>
      <c r="Y61" s="9">
        <v>0</v>
      </c>
      <c r="Z61" s="8">
        <f>(9*100)/129</f>
        <v>6.9767441860465116</v>
      </c>
      <c r="AA61" s="7">
        <f>54/4</f>
        <v>13.5</v>
      </c>
      <c r="AB61" s="9">
        <f t="shared" si="0"/>
        <v>135000</v>
      </c>
      <c r="AC61" s="2" t="s">
        <v>51</v>
      </c>
    </row>
    <row r="62" spans="1:29" ht="15.75" customHeight="1" x14ac:dyDescent="0.25">
      <c r="A62" s="9">
        <v>5</v>
      </c>
      <c r="B62" s="2" t="s">
        <v>30</v>
      </c>
      <c r="C62" s="2" t="s">
        <v>32</v>
      </c>
      <c r="D62" s="2" t="s">
        <v>39</v>
      </c>
      <c r="E62" s="2" t="s">
        <v>32</v>
      </c>
      <c r="F62" s="2">
        <v>2018</v>
      </c>
      <c r="G62" s="5">
        <v>43116</v>
      </c>
      <c r="H62" s="5" t="s">
        <v>31</v>
      </c>
      <c r="I62" s="15">
        <v>7.6066666666666682</v>
      </c>
      <c r="J62" s="7">
        <v>4.46</v>
      </c>
      <c r="K62" s="7">
        <v>5.8516483516483513</v>
      </c>
      <c r="L62" s="7">
        <v>2.4916466058217019</v>
      </c>
      <c r="M62" s="7">
        <v>1.0766</v>
      </c>
      <c r="N62" s="7">
        <v>0.6167121060379972</v>
      </c>
      <c r="O62" s="13">
        <v>2</v>
      </c>
      <c r="P62" s="7">
        <v>0.5575</v>
      </c>
      <c r="Q62" s="7">
        <f t="shared" si="22"/>
        <v>13.9375</v>
      </c>
      <c r="R62" s="2">
        <f>91/400</f>
        <v>0.22750000000000001</v>
      </c>
      <c r="S62" s="9">
        <f>91/0.04</f>
        <v>2275</v>
      </c>
      <c r="T62" s="9">
        <f>(S62/2275)*100</f>
        <v>100</v>
      </c>
      <c r="U62" s="9">
        <f>(91/91)*100</f>
        <v>100</v>
      </c>
      <c r="V62" s="9">
        <f t="shared" si="23"/>
        <v>100</v>
      </c>
      <c r="W62" s="9">
        <f>T62+U62+V62</f>
        <v>300</v>
      </c>
      <c r="X62" s="7">
        <f t="shared" si="25"/>
        <v>18.554296874999999</v>
      </c>
      <c r="Y62" s="9">
        <f>(2*100)/93</f>
        <v>2.150537634408602</v>
      </c>
      <c r="Z62" s="8">
        <f>(1*100)/92</f>
        <v>1.0869565217391304</v>
      </c>
      <c r="AA62" s="7">
        <f>17/4</f>
        <v>4.25</v>
      </c>
      <c r="AB62" s="9">
        <f>AA62*10000</f>
        <v>42500</v>
      </c>
      <c r="AC62" s="2" t="s">
        <v>51</v>
      </c>
    </row>
    <row r="63" spans="1:29" ht="15.75" customHeight="1" x14ac:dyDescent="0.25">
      <c r="A63" s="9">
        <v>6</v>
      </c>
      <c r="B63" s="2" t="s">
        <v>30</v>
      </c>
      <c r="C63" s="2" t="s">
        <v>44</v>
      </c>
      <c r="D63" s="2" t="s">
        <v>52</v>
      </c>
      <c r="E63" s="2" t="s">
        <v>44</v>
      </c>
      <c r="F63" s="2">
        <v>2018</v>
      </c>
      <c r="G63" s="14">
        <v>43157</v>
      </c>
      <c r="H63" s="5" t="s">
        <v>31</v>
      </c>
      <c r="I63" s="15">
        <v>6.2530927835051555</v>
      </c>
      <c r="J63" s="7">
        <v>3.3</v>
      </c>
      <c r="K63" s="7">
        <v>4.0592783505154637</v>
      </c>
      <c r="L63" s="7">
        <v>1.23</v>
      </c>
      <c r="M63" s="15">
        <v>1.0640932642487049</v>
      </c>
      <c r="N63" s="15">
        <v>0.90220235835600826</v>
      </c>
      <c r="O63" s="13">
        <v>1.9</v>
      </c>
      <c r="P63" s="7">
        <v>0.75878357940000096</v>
      </c>
      <c r="Q63" s="7">
        <f t="shared" si="22"/>
        <v>18.969589485000025</v>
      </c>
      <c r="R63" s="11">
        <f>195/400</f>
        <v>0.48749999999999999</v>
      </c>
      <c r="S63" s="9">
        <f>195/0.04</f>
        <v>4875</v>
      </c>
      <c r="T63" s="9">
        <f>(S63/4875)*100</f>
        <v>100</v>
      </c>
      <c r="U63" s="9">
        <f>(195/195)*100</f>
        <v>100</v>
      </c>
      <c r="V63" s="7">
        <f t="shared" si="23"/>
        <v>100</v>
      </c>
      <c r="W63" s="9">
        <f t="shared" si="24"/>
        <v>300</v>
      </c>
      <c r="X63" s="7">
        <f t="shared" si="25"/>
        <v>37.538886408380364</v>
      </c>
      <c r="Y63" s="9">
        <v>0</v>
      </c>
      <c r="Z63" s="8">
        <f>(6*100)/201</f>
        <v>2.9850746268656718</v>
      </c>
      <c r="AA63" s="8">
        <f>1/4</f>
        <v>0.25</v>
      </c>
      <c r="AB63" s="9">
        <f t="shared" si="0"/>
        <v>2500</v>
      </c>
      <c r="AC63" s="2" t="s">
        <v>51</v>
      </c>
    </row>
    <row r="64" spans="1:29" ht="15.75" customHeight="1" x14ac:dyDescent="0.25">
      <c r="A64" s="9">
        <v>7</v>
      </c>
      <c r="B64" s="2" t="s">
        <v>30</v>
      </c>
      <c r="C64" s="2" t="s">
        <v>44</v>
      </c>
      <c r="D64" s="2" t="s">
        <v>53</v>
      </c>
      <c r="E64" s="2" t="s">
        <v>44</v>
      </c>
      <c r="F64" s="2">
        <v>2018</v>
      </c>
      <c r="G64" s="5">
        <v>43158</v>
      </c>
      <c r="H64" s="5" t="s">
        <v>31</v>
      </c>
      <c r="I64" s="15">
        <v>7.16</v>
      </c>
      <c r="J64" s="7">
        <v>4.0789077233357753</v>
      </c>
      <c r="K64" s="7">
        <v>4.37</v>
      </c>
      <c r="L64" s="7">
        <v>1.3900802970775583</v>
      </c>
      <c r="M64" s="7">
        <v>1.0230999999999999</v>
      </c>
      <c r="N64" s="7">
        <v>0.54723824516356323</v>
      </c>
      <c r="O64" s="13">
        <v>2.34</v>
      </c>
      <c r="P64" s="7">
        <v>0.28376973239999997</v>
      </c>
      <c r="Q64" s="7">
        <f t="shared" si="22"/>
        <v>7.0942433099999995</v>
      </c>
      <c r="R64" s="11">
        <f>55/400</f>
        <v>0.13750000000000001</v>
      </c>
      <c r="S64" s="9">
        <f>55/0.04</f>
        <v>1375</v>
      </c>
      <c r="T64" s="7">
        <f>(S64/4200)*100</f>
        <v>32.738095238095241</v>
      </c>
      <c r="U64" s="7">
        <f>(55/168)*100</f>
        <v>32.738095238095241</v>
      </c>
      <c r="V64" s="7">
        <f>(P64/SUM(P64:P65))*100</f>
        <v>46.748491341386419</v>
      </c>
      <c r="W64" s="9">
        <f t="shared" si="24"/>
        <v>112.22468181757691</v>
      </c>
      <c r="X64" s="7">
        <f t="shared" si="25"/>
        <v>4.26275344889625</v>
      </c>
      <c r="Y64" s="9">
        <v>0</v>
      </c>
      <c r="Z64" s="8">
        <f>(1*100)/56</f>
        <v>1.7857142857142858</v>
      </c>
      <c r="AA64" s="9">
        <v>0</v>
      </c>
      <c r="AB64" s="9">
        <f t="shared" si="0"/>
        <v>0</v>
      </c>
      <c r="AC64" s="2" t="s">
        <v>51</v>
      </c>
    </row>
    <row r="65" spans="1:29" ht="15.75" customHeight="1" x14ac:dyDescent="0.25">
      <c r="A65" s="9">
        <v>7</v>
      </c>
      <c r="B65" s="2" t="s">
        <v>30</v>
      </c>
      <c r="C65" s="2" t="s">
        <v>44</v>
      </c>
      <c r="D65" s="2" t="s">
        <v>53</v>
      </c>
      <c r="E65" s="2" t="s">
        <v>44</v>
      </c>
      <c r="F65" s="2">
        <v>2018</v>
      </c>
      <c r="G65" s="5">
        <v>43158</v>
      </c>
      <c r="H65" s="5" t="s">
        <v>36</v>
      </c>
      <c r="I65" s="15">
        <v>5.66</v>
      </c>
      <c r="J65" s="7">
        <v>2.0983547374784695</v>
      </c>
      <c r="K65" s="7">
        <v>4.75</v>
      </c>
      <c r="L65" s="7">
        <v>0.97077230193271802</v>
      </c>
      <c r="M65" s="7">
        <v>0.71099999999999997</v>
      </c>
      <c r="N65" s="7">
        <v>0.46275256199001025</v>
      </c>
      <c r="O65" s="13">
        <v>1.95</v>
      </c>
      <c r="P65" s="7">
        <v>0.32324393639999988</v>
      </c>
      <c r="Q65" s="7">
        <f t="shared" si="22"/>
        <v>8.0810984099999974</v>
      </c>
      <c r="R65" s="11">
        <f>113/400</f>
        <v>0.28249999999999997</v>
      </c>
      <c r="S65" s="9">
        <f>113/0.04</f>
        <v>2825</v>
      </c>
      <c r="T65" s="7">
        <f>(S65/4200)*100</f>
        <v>67.261904761904773</v>
      </c>
      <c r="U65" s="7">
        <f>(113/168)*100</f>
        <v>67.261904761904773</v>
      </c>
      <c r="V65" s="7">
        <f>(P65/SUM(P64:P65))*100</f>
        <v>53.251508658613581</v>
      </c>
      <c r="W65" s="9">
        <f t="shared" si="24"/>
        <v>187.77531818242312</v>
      </c>
      <c r="X65" s="7">
        <f t="shared" si="25"/>
        <v>10.843823928918747</v>
      </c>
      <c r="Y65" s="9">
        <f>(3*100)/116</f>
        <v>2.5862068965517242</v>
      </c>
      <c r="Z65" s="8">
        <f>(1*100)/114</f>
        <v>0.8771929824561403</v>
      </c>
      <c r="AA65" s="9">
        <v>0</v>
      </c>
      <c r="AB65" s="9">
        <f t="shared" si="0"/>
        <v>0</v>
      </c>
      <c r="AC65" s="2" t="s">
        <v>51</v>
      </c>
    </row>
    <row r="66" spans="1:29" ht="15.75" customHeight="1" x14ac:dyDescent="0.25">
      <c r="A66" s="9">
        <v>8</v>
      </c>
      <c r="B66" s="2" t="s">
        <v>30</v>
      </c>
      <c r="C66" s="2" t="s">
        <v>44</v>
      </c>
      <c r="D66" s="2" t="s">
        <v>54</v>
      </c>
      <c r="E66" s="2" t="s">
        <v>44</v>
      </c>
      <c r="F66" s="2">
        <v>2018</v>
      </c>
      <c r="G66" s="5">
        <v>43161</v>
      </c>
      <c r="H66" s="5" t="s">
        <v>31</v>
      </c>
      <c r="I66" s="15">
        <v>5.744311377245511</v>
      </c>
      <c r="J66" s="7">
        <v>2.729605959611046</v>
      </c>
      <c r="K66" s="7">
        <v>3.9596385542168679</v>
      </c>
      <c r="L66" s="7">
        <v>1.2894172858309481</v>
      </c>
      <c r="M66" s="7">
        <v>0.92604790419161609</v>
      </c>
      <c r="N66" s="7">
        <v>0.65840710277376713</v>
      </c>
      <c r="O66" s="13">
        <v>1.9</v>
      </c>
      <c r="P66" s="7">
        <v>0.52405422299999982</v>
      </c>
      <c r="Q66" s="7">
        <f t="shared" si="22"/>
        <v>13.101355574999996</v>
      </c>
      <c r="R66" s="11">
        <f>170/400</f>
        <v>0.42499999999999999</v>
      </c>
      <c r="S66" s="9">
        <f>170/0.04</f>
        <v>4250</v>
      </c>
      <c r="T66" s="7">
        <f>(S66/4350)*100</f>
        <v>97.701149425287355</v>
      </c>
      <c r="U66" s="7">
        <f>(170/174)*100</f>
        <v>97.701149425287355</v>
      </c>
      <c r="V66" s="7">
        <f>(P66/SUM(P66:P68))*100</f>
        <v>99.277194120544038</v>
      </c>
      <c r="W66" s="9">
        <f t="shared" si="24"/>
        <v>294.67949297111875</v>
      </c>
      <c r="X66" s="7">
        <f t="shared" si="25"/>
        <v>22.047568875091489</v>
      </c>
      <c r="Y66" s="9">
        <f>(3*100)/173</f>
        <v>1.7341040462427746</v>
      </c>
      <c r="Z66" s="8">
        <f>(5*100)/175</f>
        <v>2.8571428571428572</v>
      </c>
      <c r="AA66" s="7">
        <f>46/4</f>
        <v>11.5</v>
      </c>
      <c r="AB66" s="9">
        <f t="shared" si="0"/>
        <v>115000</v>
      </c>
      <c r="AC66" s="2" t="s">
        <v>51</v>
      </c>
    </row>
    <row r="67" spans="1:29" ht="15.75" customHeight="1" x14ac:dyDescent="0.25">
      <c r="A67" s="9">
        <v>8</v>
      </c>
      <c r="B67" s="2" t="s">
        <v>30</v>
      </c>
      <c r="C67" s="2" t="s">
        <v>44</v>
      </c>
      <c r="D67" s="2" t="s">
        <v>54</v>
      </c>
      <c r="E67" s="2" t="s">
        <v>44</v>
      </c>
      <c r="F67" s="2">
        <v>2018</v>
      </c>
      <c r="G67" s="5">
        <v>43161</v>
      </c>
      <c r="H67" s="5" t="s">
        <v>36</v>
      </c>
      <c r="I67" s="15">
        <v>2.7</v>
      </c>
      <c r="J67" s="7">
        <v>0</v>
      </c>
      <c r="K67" s="15">
        <v>2.5</v>
      </c>
      <c r="L67" s="7">
        <v>0</v>
      </c>
      <c r="M67" s="15">
        <v>0.1</v>
      </c>
      <c r="N67" s="7">
        <v>0</v>
      </c>
      <c r="O67" s="7">
        <v>0.95</v>
      </c>
      <c r="P67" s="7">
        <v>5.7255660000000009E-4</v>
      </c>
      <c r="Q67" s="7">
        <f t="shared" si="22"/>
        <v>1.4313915000000002E-2</v>
      </c>
      <c r="R67" s="11">
        <f>1/400</f>
        <v>2.5000000000000001E-3</v>
      </c>
      <c r="S67" s="9">
        <f>1/0.04</f>
        <v>25</v>
      </c>
      <c r="T67" s="7">
        <f>(S67/4350)*100</f>
        <v>0.57471264367816088</v>
      </c>
      <c r="U67" s="7">
        <f>(1/174)*100</f>
        <v>0.57471264367816088</v>
      </c>
      <c r="V67" s="7">
        <f>(P67/SUM(P66:P68))*100</f>
        <v>0.1084655179340072</v>
      </c>
      <c r="W67" s="9">
        <f t="shared" si="24"/>
        <v>1.257890805290329</v>
      </c>
      <c r="X67" s="7">
        <f t="shared" si="25"/>
        <v>8.9461968750000008E-5</v>
      </c>
      <c r="Y67" s="9">
        <v>0</v>
      </c>
      <c r="Z67" s="9">
        <v>0</v>
      </c>
      <c r="AA67" s="9">
        <v>0</v>
      </c>
      <c r="AB67" s="2">
        <f t="shared" si="0"/>
        <v>0</v>
      </c>
      <c r="AC67" s="2" t="s">
        <v>51</v>
      </c>
    </row>
    <row r="68" spans="1:29" ht="15.75" customHeight="1" x14ac:dyDescent="0.25">
      <c r="A68" s="9">
        <v>8</v>
      </c>
      <c r="B68" s="2" t="s">
        <v>30</v>
      </c>
      <c r="C68" s="2" t="s">
        <v>44</v>
      </c>
      <c r="D68" s="2" t="s">
        <v>54</v>
      </c>
      <c r="E68" s="2" t="s">
        <v>44</v>
      </c>
      <c r="F68" s="2">
        <v>2018</v>
      </c>
      <c r="G68" s="5">
        <v>43161</v>
      </c>
      <c r="H68" s="5" t="s">
        <v>41</v>
      </c>
      <c r="I68" s="15">
        <v>3.5666666666666664</v>
      </c>
      <c r="J68" s="7">
        <v>1.2503332889007379</v>
      </c>
      <c r="K68" s="7">
        <v>2.83</v>
      </c>
      <c r="L68" s="7">
        <v>0.57735026918962629</v>
      </c>
      <c r="M68" s="7">
        <v>0.56699999999999995</v>
      </c>
      <c r="N68" s="7">
        <v>0.11547005383792529</v>
      </c>
      <c r="O68" s="13">
        <v>2.77</v>
      </c>
      <c r="P68" s="7">
        <v>3.2429166000000004E-3</v>
      </c>
      <c r="Q68" s="7">
        <f t="shared" si="22"/>
        <v>8.1072915000000009E-2</v>
      </c>
      <c r="R68" s="11">
        <f>3/400</f>
        <v>7.4999999999999997E-3</v>
      </c>
      <c r="S68" s="9">
        <f>3/0.04</f>
        <v>75</v>
      </c>
      <c r="T68" s="7">
        <f>(S68/4350)*100</f>
        <v>1.7241379310344827</v>
      </c>
      <c r="U68" s="7">
        <f>(3/174)*100</f>
        <v>1.7241379310344827</v>
      </c>
      <c r="V68" s="7">
        <f>(P68/SUM(P66:P68))*100</f>
        <v>0.61434036152196947</v>
      </c>
      <c r="W68" s="9">
        <f t="shared" si="24"/>
        <v>4.0626162235909344</v>
      </c>
      <c r="X68" s="7">
        <f t="shared" si="25"/>
        <v>1.7207726208750003E-3</v>
      </c>
      <c r="Y68" s="9">
        <v>0</v>
      </c>
      <c r="Z68" s="9">
        <v>0</v>
      </c>
      <c r="AA68" s="9">
        <v>0</v>
      </c>
      <c r="AB68" s="2">
        <f t="shared" si="0"/>
        <v>0</v>
      </c>
      <c r="AC68" s="2" t="s">
        <v>51</v>
      </c>
    </row>
    <row r="69" spans="1:29" ht="15.75" customHeight="1" x14ac:dyDescent="0.25">
      <c r="A69" s="9">
        <v>9</v>
      </c>
      <c r="B69" s="2" t="s">
        <v>30</v>
      </c>
      <c r="C69" s="2" t="s">
        <v>44</v>
      </c>
      <c r="D69" s="2" t="s">
        <v>55</v>
      </c>
      <c r="E69" s="2" t="s">
        <v>44</v>
      </c>
      <c r="F69" s="2">
        <v>2018</v>
      </c>
      <c r="G69" s="5">
        <v>43160</v>
      </c>
      <c r="H69" s="5" t="s">
        <v>31</v>
      </c>
      <c r="I69" s="15">
        <v>6.486428571428573</v>
      </c>
      <c r="J69" s="7">
        <v>3.208572901762937</v>
      </c>
      <c r="K69" s="7">
        <v>4.7264285714285714</v>
      </c>
      <c r="L69" s="7">
        <v>1.559780847452201</v>
      </c>
      <c r="M69" s="7">
        <v>1.27</v>
      </c>
      <c r="N69" s="7">
        <v>0.78663743027434185</v>
      </c>
      <c r="O69" s="13">
        <v>2.13</v>
      </c>
      <c r="P69" s="7">
        <v>0.57011793300000013</v>
      </c>
      <c r="Q69" s="7">
        <f t="shared" si="22"/>
        <v>14.252948325000004</v>
      </c>
      <c r="R69" s="11">
        <f>142/400</f>
        <v>0.35499999999999998</v>
      </c>
      <c r="S69" s="9">
        <f>142/0.04</f>
        <v>3550</v>
      </c>
      <c r="T69" s="7">
        <f>(S69/3625)*100</f>
        <v>97.931034482758619</v>
      </c>
      <c r="U69" s="7">
        <f>(142/145)*100</f>
        <v>97.931034482758619</v>
      </c>
      <c r="V69" s="7">
        <f>(P69/SUM(P69:P70))*100</f>
        <v>98.288769763842637</v>
      </c>
      <c r="W69" s="9">
        <f t="shared" si="24"/>
        <v>294.15083872935986</v>
      </c>
      <c r="X69" s="7">
        <f t="shared" si="25"/>
        <v>23.91476747758313</v>
      </c>
      <c r="Y69" s="7">
        <f>(8*100)/150</f>
        <v>5.333333333333333</v>
      </c>
      <c r="Z69" s="8">
        <f>(3*100)/145</f>
        <v>2.0689655172413794</v>
      </c>
      <c r="AA69" s="7">
        <f>13/4</f>
        <v>3.25</v>
      </c>
      <c r="AB69" s="9">
        <f t="shared" ref="AB69:AB73" si="26">AA69*10000</f>
        <v>32500</v>
      </c>
      <c r="AC69" s="2" t="s">
        <v>51</v>
      </c>
    </row>
    <row r="70" spans="1:29" ht="15.75" customHeight="1" x14ac:dyDescent="0.25">
      <c r="A70" s="9">
        <v>9</v>
      </c>
      <c r="B70" s="2" t="s">
        <v>30</v>
      </c>
      <c r="C70" s="2" t="s">
        <v>44</v>
      </c>
      <c r="D70" s="2" t="s">
        <v>55</v>
      </c>
      <c r="E70" s="2" t="s">
        <v>44</v>
      </c>
      <c r="F70" s="2">
        <v>2018</v>
      </c>
      <c r="G70" s="5">
        <v>43160</v>
      </c>
      <c r="H70" s="5" t="s">
        <v>36</v>
      </c>
      <c r="I70" s="15">
        <v>6.4666666666666659</v>
      </c>
      <c r="J70" s="7">
        <v>0.68068592855540444</v>
      </c>
      <c r="K70" s="7">
        <v>4.833333333333333</v>
      </c>
      <c r="L70" s="7">
        <v>0.57735026918962584</v>
      </c>
      <c r="M70" s="7">
        <v>1.5</v>
      </c>
      <c r="N70" s="7">
        <v>0.43588989435406728</v>
      </c>
      <c r="O70" s="13">
        <v>1.48</v>
      </c>
      <c r="P70" s="7">
        <v>9.9258851999999998E-3</v>
      </c>
      <c r="Q70" s="7">
        <f t="shared" si="22"/>
        <v>0.24814712999999999</v>
      </c>
      <c r="R70" s="11">
        <f>3/400</f>
        <v>7.4999999999999997E-3</v>
      </c>
      <c r="S70" s="9">
        <f>3/0.04</f>
        <v>75</v>
      </c>
      <c r="T70" s="7">
        <f>(S70/3625)*100</f>
        <v>2.0689655172413794</v>
      </c>
      <c r="U70" s="7">
        <f>(3/145)*100</f>
        <v>2.0689655172413794</v>
      </c>
      <c r="V70" s="7">
        <f>(P70/SUM(P69:P70))*100</f>
        <v>1.7112302361573546</v>
      </c>
      <c r="W70" s="9">
        <f t="shared" si="24"/>
        <v>5.8491612706401135</v>
      </c>
      <c r="X70" s="7">
        <f t="shared" si="25"/>
        <v>8.9953334624999978E-3</v>
      </c>
      <c r="Y70" s="2">
        <v>0</v>
      </c>
      <c r="Z70" s="9">
        <v>0</v>
      </c>
      <c r="AA70" s="7">
        <f>4/4</f>
        <v>1</v>
      </c>
      <c r="AB70" s="9">
        <f t="shared" si="26"/>
        <v>10000</v>
      </c>
      <c r="AC70" s="2" t="s">
        <v>51</v>
      </c>
    </row>
    <row r="71" spans="1:29" ht="15.75" customHeight="1" x14ac:dyDescent="0.25">
      <c r="A71" s="9">
        <v>10</v>
      </c>
      <c r="B71" s="2" t="s">
        <v>30</v>
      </c>
      <c r="C71" s="2" t="s">
        <v>44</v>
      </c>
      <c r="D71" s="2" t="s">
        <v>45</v>
      </c>
      <c r="E71" s="2" t="s">
        <v>44</v>
      </c>
      <c r="F71" s="2">
        <v>2018</v>
      </c>
      <c r="G71" s="5">
        <v>43187</v>
      </c>
      <c r="H71" s="5" t="s">
        <v>31</v>
      </c>
      <c r="I71" s="15">
        <v>4.6929999999999996</v>
      </c>
      <c r="J71" s="7">
        <v>1.9555938274754621</v>
      </c>
      <c r="K71" s="7">
        <v>4.0034999999999998</v>
      </c>
      <c r="L71" s="7">
        <v>1.2512355296323407</v>
      </c>
      <c r="M71" s="7">
        <v>1.84</v>
      </c>
      <c r="N71" s="7">
        <v>0.70679926307395657</v>
      </c>
      <c r="O71" s="13">
        <v>1.69</v>
      </c>
      <c r="P71" s="7">
        <v>0.28798000000000001</v>
      </c>
      <c r="Q71" s="7">
        <f t="shared" si="22"/>
        <v>7.1995000000000005</v>
      </c>
      <c r="R71" s="11">
        <f>142/400</f>
        <v>0.35499999999999998</v>
      </c>
      <c r="S71" s="9">
        <f>142/0.04</f>
        <v>3550</v>
      </c>
      <c r="T71" s="7">
        <f>(S71/4000)*100</f>
        <v>88.75</v>
      </c>
      <c r="U71" s="7">
        <f>(142/160)*100</f>
        <v>88.75</v>
      </c>
      <c r="V71" s="7">
        <f>(P71/SUM(P71:P73))*100</f>
        <v>77.81560743623001</v>
      </c>
      <c r="W71" s="9">
        <f t="shared" si="24"/>
        <v>255.31560743623001</v>
      </c>
      <c r="X71" s="7">
        <f t="shared" si="25"/>
        <v>10.23223537875</v>
      </c>
      <c r="Y71" s="2">
        <v>0</v>
      </c>
      <c r="Z71" s="9">
        <v>0</v>
      </c>
      <c r="AA71" s="9">
        <v>0</v>
      </c>
      <c r="AB71" s="2">
        <f t="shared" si="26"/>
        <v>0</v>
      </c>
      <c r="AC71" s="2" t="s">
        <v>51</v>
      </c>
    </row>
    <row r="72" spans="1:29" ht="15.75" customHeight="1" x14ac:dyDescent="0.25">
      <c r="A72" s="9">
        <v>10</v>
      </c>
      <c r="B72" s="2" t="s">
        <v>30</v>
      </c>
      <c r="C72" s="2" t="s">
        <v>44</v>
      </c>
      <c r="D72" s="2" t="s">
        <v>45</v>
      </c>
      <c r="E72" s="2" t="s">
        <v>44</v>
      </c>
      <c r="F72" s="2">
        <v>2018</v>
      </c>
      <c r="G72" s="5">
        <v>43187</v>
      </c>
      <c r="H72" s="5" t="s">
        <v>36</v>
      </c>
      <c r="I72" s="15">
        <v>7.64</v>
      </c>
      <c r="J72" s="7">
        <v>2.0328727034842697</v>
      </c>
      <c r="K72" s="7">
        <v>5.12</v>
      </c>
      <c r="L72" s="7">
        <v>1.0965313275875666</v>
      </c>
      <c r="M72" s="7">
        <v>1.03</v>
      </c>
      <c r="N72" s="7">
        <v>0.83722898955565372</v>
      </c>
      <c r="O72" s="13">
        <v>2.86</v>
      </c>
      <c r="P72" s="7">
        <v>7.3300000000000004E-2</v>
      </c>
      <c r="Q72" s="7">
        <f t="shared" si="22"/>
        <v>1.8325</v>
      </c>
      <c r="R72" s="11">
        <f>15/400</f>
        <v>3.7499999999999999E-2</v>
      </c>
      <c r="S72" s="9">
        <f>15/0.04</f>
        <v>375</v>
      </c>
      <c r="T72" s="7">
        <f>(S72/4000)*100</f>
        <v>9.375</v>
      </c>
      <c r="U72" s="7">
        <f>(15/160)*100</f>
        <v>9.375</v>
      </c>
      <c r="V72" s="7">
        <f>(P72/SUM(P71:P73))*100</f>
        <v>19.806528318201469</v>
      </c>
      <c r="W72" s="9">
        <f t="shared" si="24"/>
        <v>38.556528318201472</v>
      </c>
      <c r="X72" s="7">
        <f t="shared" si="25"/>
        <v>0.35183999999999999</v>
      </c>
      <c r="Y72" s="2">
        <v>0</v>
      </c>
      <c r="Z72" s="9">
        <v>0</v>
      </c>
      <c r="AA72" s="9">
        <v>0</v>
      </c>
      <c r="AB72" s="2">
        <f t="shared" si="26"/>
        <v>0</v>
      </c>
      <c r="AC72" s="2" t="s">
        <v>51</v>
      </c>
    </row>
    <row r="73" spans="1:29" ht="15.75" customHeight="1" x14ac:dyDescent="0.25">
      <c r="A73" s="9">
        <v>10</v>
      </c>
      <c r="B73" s="2" t="s">
        <v>30</v>
      </c>
      <c r="C73" s="2" t="s">
        <v>44</v>
      </c>
      <c r="D73" s="2" t="s">
        <v>45</v>
      </c>
      <c r="E73" s="2" t="s">
        <v>44</v>
      </c>
      <c r="F73" s="2">
        <v>2018</v>
      </c>
      <c r="G73" s="5">
        <v>43187</v>
      </c>
      <c r="H73" s="5" t="s">
        <v>41</v>
      </c>
      <c r="I73" s="15">
        <v>5.73</v>
      </c>
      <c r="J73" s="7">
        <v>2.610236260060252</v>
      </c>
      <c r="K73" s="7">
        <v>4.5</v>
      </c>
      <c r="L73" s="7">
        <v>2.6457513110645907</v>
      </c>
      <c r="M73" s="7">
        <v>0.83299999999999996</v>
      </c>
      <c r="N73" s="7">
        <v>0.51316014394468812</v>
      </c>
      <c r="O73" s="13">
        <v>3.93</v>
      </c>
      <c r="P73" s="7">
        <v>8.8000000000000005E-3</v>
      </c>
      <c r="Q73" s="7">
        <f t="shared" si="22"/>
        <v>0.22</v>
      </c>
      <c r="R73" s="11">
        <f>3/400</f>
        <v>7.4999999999999997E-3</v>
      </c>
      <c r="S73" s="9">
        <f>3/0.04</f>
        <v>75</v>
      </c>
      <c r="T73" s="7">
        <f>(S73/4000)*100</f>
        <v>1.875</v>
      </c>
      <c r="U73" s="7">
        <f>(3/160)*100</f>
        <v>1.875</v>
      </c>
      <c r="V73" s="7">
        <f>(P73/SUM(P71:P73))*100</f>
        <v>2.3778642455685257</v>
      </c>
      <c r="W73" s="9">
        <f t="shared" si="24"/>
        <v>6.1278642455685262</v>
      </c>
      <c r="X73" s="7">
        <f t="shared" si="25"/>
        <v>7.4250000000000002E-3</v>
      </c>
      <c r="Y73" s="2">
        <v>0</v>
      </c>
      <c r="Z73" s="9">
        <v>0</v>
      </c>
      <c r="AA73" s="9">
        <v>0</v>
      </c>
      <c r="AB73" s="2">
        <f t="shared" si="26"/>
        <v>0</v>
      </c>
      <c r="AC73" s="2" t="s">
        <v>51</v>
      </c>
    </row>
    <row r="74" spans="1:29" ht="15.75" customHeight="1" x14ac:dyDescent="0.25">
      <c r="A74" s="9">
        <v>11</v>
      </c>
      <c r="B74" s="2" t="s">
        <v>30</v>
      </c>
      <c r="C74" s="2" t="s">
        <v>40</v>
      </c>
      <c r="D74" s="2" t="s">
        <v>56</v>
      </c>
      <c r="E74" s="2" t="s">
        <v>40</v>
      </c>
      <c r="F74" s="2">
        <v>2018</v>
      </c>
      <c r="G74" s="5">
        <v>43133</v>
      </c>
      <c r="H74" s="5" t="s">
        <v>31</v>
      </c>
      <c r="I74" s="15">
        <v>4.4119205298013258</v>
      </c>
      <c r="J74" s="7">
        <v>1.4401355099349857</v>
      </c>
      <c r="K74" s="7">
        <v>3.51</v>
      </c>
      <c r="L74" s="7">
        <v>1.1546240656126268</v>
      </c>
      <c r="M74" s="7">
        <v>1.0970666666666666</v>
      </c>
      <c r="N74" s="7">
        <v>0.66926772938655443</v>
      </c>
      <c r="O74" s="13">
        <v>1.48</v>
      </c>
      <c r="P74" s="7">
        <v>0.25528013280000023</v>
      </c>
      <c r="Q74" s="7">
        <f t="shared" si="22"/>
        <v>6.3820033200000053</v>
      </c>
      <c r="R74" s="11">
        <f>151/400</f>
        <v>0.3775</v>
      </c>
      <c r="S74" s="9">
        <f>151/0.04</f>
        <v>3775</v>
      </c>
      <c r="T74" s="7">
        <f>(S74/4225)*100</f>
        <v>89.349112426035504</v>
      </c>
      <c r="U74" s="7">
        <f>(151/169)*100</f>
        <v>89.349112426035504</v>
      </c>
      <c r="V74" s="7">
        <f>(P74/SUM(P74:P76))*100</f>
        <v>85.422788030423305</v>
      </c>
      <c r="W74" s="7">
        <f t="shared" si="24"/>
        <v>264.12101288249431</v>
      </c>
      <c r="X74" s="7">
        <f>1*S74*Q74*K74/10000</f>
        <v>8.4563139490830057</v>
      </c>
      <c r="Y74" s="2">
        <v>0</v>
      </c>
      <c r="Z74" s="8">
        <f>(3*100)/154</f>
        <v>1.948051948051948</v>
      </c>
      <c r="AA74" s="7">
        <f>11/4</f>
        <v>2.75</v>
      </c>
      <c r="AB74" s="9">
        <f t="shared" ref="AB74:AB94" si="27">AA74*10000</f>
        <v>27500</v>
      </c>
      <c r="AC74" s="2" t="s">
        <v>51</v>
      </c>
    </row>
    <row r="75" spans="1:29" ht="15.75" customHeight="1" x14ac:dyDescent="0.25">
      <c r="A75" s="9">
        <v>11</v>
      </c>
      <c r="B75" s="2" t="s">
        <v>30</v>
      </c>
      <c r="C75" s="2" t="s">
        <v>40</v>
      </c>
      <c r="D75" s="2" t="s">
        <v>56</v>
      </c>
      <c r="E75" s="2" t="s">
        <v>40</v>
      </c>
      <c r="F75" s="2">
        <v>2018</v>
      </c>
      <c r="G75" s="5">
        <v>43133</v>
      </c>
      <c r="H75" s="5" t="s">
        <v>36</v>
      </c>
      <c r="I75" s="15">
        <v>6.677777777777778</v>
      </c>
      <c r="J75" s="7">
        <v>1.8505254509042686</v>
      </c>
      <c r="K75" s="7">
        <v>5.8888888888888893</v>
      </c>
      <c r="L75" s="7">
        <v>1.7460272366464145</v>
      </c>
      <c r="M75" s="7">
        <v>1.822222222222222</v>
      </c>
      <c r="N75" s="7">
        <v>0.94970755732722534</v>
      </c>
      <c r="O75" s="7">
        <v>2.61</v>
      </c>
      <c r="P75" s="7">
        <v>3.36724542E-2</v>
      </c>
      <c r="Q75" s="7">
        <f t="shared" si="22"/>
        <v>0.84181135500000004</v>
      </c>
      <c r="R75" s="11">
        <f>9/400</f>
        <v>2.2499999999999999E-2</v>
      </c>
      <c r="S75" s="9">
        <f>9/0.04</f>
        <v>225</v>
      </c>
      <c r="T75" s="7">
        <f>(S75/4225)*100</f>
        <v>5.3254437869822491</v>
      </c>
      <c r="U75" s="7">
        <f>(9/169)*100</f>
        <v>5.3254437869822491</v>
      </c>
      <c r="V75" s="7">
        <f>(P75/SUM(P74:P76))*100</f>
        <v>11.267601932204627</v>
      </c>
      <c r="W75" s="7">
        <f t="shared" si="24"/>
        <v>21.918489506169124</v>
      </c>
      <c r="X75" s="7">
        <f t="shared" si="25"/>
        <v>0.11154000453750001</v>
      </c>
      <c r="Y75" s="2">
        <v>0</v>
      </c>
      <c r="Z75" s="9">
        <v>0</v>
      </c>
      <c r="AA75" s="7">
        <v>0</v>
      </c>
      <c r="AB75" s="2">
        <f t="shared" si="27"/>
        <v>0</v>
      </c>
      <c r="AC75" s="2" t="s">
        <v>51</v>
      </c>
    </row>
    <row r="76" spans="1:29" ht="15.75" customHeight="1" x14ac:dyDescent="0.25">
      <c r="A76" s="9">
        <v>11</v>
      </c>
      <c r="B76" s="2" t="s">
        <v>30</v>
      </c>
      <c r="C76" s="2" t="s">
        <v>40</v>
      </c>
      <c r="D76" s="2" t="s">
        <v>56</v>
      </c>
      <c r="E76" s="2" t="s">
        <v>40</v>
      </c>
      <c r="F76" s="2">
        <v>2018</v>
      </c>
      <c r="G76" s="5">
        <v>43133</v>
      </c>
      <c r="H76" s="5" t="s">
        <v>41</v>
      </c>
      <c r="I76" s="15">
        <v>3.6111111111111112</v>
      </c>
      <c r="J76" s="7">
        <v>1.0349449797506676</v>
      </c>
      <c r="K76" s="7">
        <v>3.3333333333333335</v>
      </c>
      <c r="L76" s="7">
        <v>0.61237243569579447</v>
      </c>
      <c r="M76" s="7">
        <v>0.81111111111111123</v>
      </c>
      <c r="N76" s="7">
        <v>0.29344694769431667</v>
      </c>
      <c r="O76" s="7">
        <v>2.29</v>
      </c>
      <c r="P76" s="7">
        <v>9.8905422000000014E-3</v>
      </c>
      <c r="Q76" s="7">
        <f t="shared" si="22"/>
        <v>0.24726355500000002</v>
      </c>
      <c r="R76" s="11">
        <f>9/400</f>
        <v>2.2499999999999999E-2</v>
      </c>
      <c r="S76" s="9">
        <f>9/0.04</f>
        <v>225</v>
      </c>
      <c r="T76" s="7">
        <f>(S76/4225)*100</f>
        <v>5.3254437869822491</v>
      </c>
      <c r="U76" s="7">
        <f>(9/169)*100</f>
        <v>5.3254437869822491</v>
      </c>
      <c r="V76" s="7">
        <f>(P76/SUM(P74:P76))*100</f>
        <v>3.3096100373720736</v>
      </c>
      <c r="W76" s="7">
        <f t="shared" si="24"/>
        <v>13.960497611336571</v>
      </c>
      <c r="X76" s="7">
        <f t="shared" si="25"/>
        <v>1.8544766625000004E-2</v>
      </c>
      <c r="Y76" s="2">
        <v>0</v>
      </c>
      <c r="Z76" s="9">
        <v>0</v>
      </c>
      <c r="AA76" s="7">
        <f>19/4</f>
        <v>4.75</v>
      </c>
      <c r="AB76" s="9">
        <f t="shared" si="27"/>
        <v>47500</v>
      </c>
      <c r="AC76" s="2" t="s">
        <v>51</v>
      </c>
    </row>
    <row r="77" spans="1:29" ht="15.75" customHeight="1" x14ac:dyDescent="0.25">
      <c r="A77" s="9">
        <v>12</v>
      </c>
      <c r="B77" s="2" t="s">
        <v>30</v>
      </c>
      <c r="C77" s="2" t="s">
        <v>40</v>
      </c>
      <c r="D77" s="2" t="s">
        <v>57</v>
      </c>
      <c r="E77" s="2" t="s">
        <v>40</v>
      </c>
      <c r="F77" s="2">
        <v>2018</v>
      </c>
      <c r="G77" s="5">
        <v>43132</v>
      </c>
      <c r="H77" s="5" t="s">
        <v>31</v>
      </c>
      <c r="I77" s="15">
        <v>3.9284810126582275</v>
      </c>
      <c r="J77" s="15">
        <v>1.1969613978948155</v>
      </c>
      <c r="K77" s="7">
        <v>2.4787500000000002</v>
      </c>
      <c r="L77" s="7">
        <v>0.52358074110191277</v>
      </c>
      <c r="M77" s="7">
        <v>0.71862499999999963</v>
      </c>
      <c r="N77" s="7">
        <v>0.40076889543372823</v>
      </c>
      <c r="O77" s="7">
        <v>1.31</v>
      </c>
      <c r="P77" s="7">
        <v>0.21004187820000011</v>
      </c>
      <c r="Q77" s="7">
        <f t="shared" si="22"/>
        <v>5.2510469550000032</v>
      </c>
      <c r="R77" s="7">
        <f>160/400</f>
        <v>0.4</v>
      </c>
      <c r="S77" s="9">
        <f>160/0.04</f>
        <v>4000</v>
      </c>
      <c r="T77" s="9">
        <f>(S77/S77)*100</f>
        <v>100</v>
      </c>
      <c r="U77" s="9">
        <f>(160/160)*100</f>
        <v>100</v>
      </c>
      <c r="V77" s="9">
        <f>(P77/SUM(P77))*100</f>
        <v>100</v>
      </c>
      <c r="W77" s="9">
        <f t="shared" si="24"/>
        <v>300</v>
      </c>
      <c r="X77" s="7">
        <f t="shared" si="25"/>
        <v>5.2064130558825044</v>
      </c>
      <c r="Y77" s="2">
        <v>0</v>
      </c>
      <c r="Z77" s="8">
        <f>(1*100)/161</f>
        <v>0.6211180124223602</v>
      </c>
      <c r="AA77" s="7">
        <f>111/4</f>
        <v>27.75</v>
      </c>
      <c r="AB77" s="9">
        <f t="shared" si="27"/>
        <v>277500</v>
      </c>
      <c r="AC77" s="2" t="s">
        <v>51</v>
      </c>
    </row>
    <row r="78" spans="1:29" ht="15.75" customHeight="1" x14ac:dyDescent="0.25">
      <c r="A78" s="9">
        <v>13</v>
      </c>
      <c r="B78" s="2" t="s">
        <v>30</v>
      </c>
      <c r="C78" s="2" t="s">
        <v>40</v>
      </c>
      <c r="D78" s="2" t="s">
        <v>58</v>
      </c>
      <c r="E78" s="2" t="s">
        <v>40</v>
      </c>
      <c r="F78" s="2">
        <v>2018</v>
      </c>
      <c r="G78" s="5">
        <v>43131</v>
      </c>
      <c r="H78" s="5" t="s">
        <v>31</v>
      </c>
      <c r="I78" s="7">
        <v>6.6592592592592617</v>
      </c>
      <c r="J78" s="7">
        <v>3.1631105108618605</v>
      </c>
      <c r="K78" s="7">
        <v>6.3666666666666663</v>
      </c>
      <c r="L78" s="7">
        <v>3.2702868558282447</v>
      </c>
      <c r="M78" s="7">
        <v>1.4128888888888889</v>
      </c>
      <c r="N78" s="7">
        <v>1.137230772906612</v>
      </c>
      <c r="O78" s="7">
        <v>2.0099999999999998</v>
      </c>
      <c r="P78" s="7">
        <v>0.57549242519999988</v>
      </c>
      <c r="Q78" s="7">
        <f t="shared" si="22"/>
        <v>14.387310629999996</v>
      </c>
      <c r="R78" s="11">
        <f>135/400</f>
        <v>0.33750000000000002</v>
      </c>
      <c r="S78" s="9">
        <f>135/0.04</f>
        <v>3375</v>
      </c>
      <c r="T78" s="9">
        <f>(S78/S78)*100</f>
        <v>100</v>
      </c>
      <c r="U78" s="9">
        <f>(135/135)*100</f>
        <v>100</v>
      </c>
      <c r="V78" s="9">
        <f>(P78/SUM(P78))*100</f>
        <v>100</v>
      </c>
      <c r="W78" s="9">
        <f t="shared" si="24"/>
        <v>300</v>
      </c>
      <c r="X78" s="7">
        <f t="shared" si="25"/>
        <v>30.914733716212485</v>
      </c>
      <c r="Y78" s="7">
        <f>(3*100)/138</f>
        <v>2.1739130434782608</v>
      </c>
      <c r="Z78" s="8">
        <f>(10*100)/145</f>
        <v>6.8965517241379306</v>
      </c>
      <c r="AA78" s="7">
        <f>17/4</f>
        <v>4.25</v>
      </c>
      <c r="AB78" s="9">
        <f t="shared" si="27"/>
        <v>42500</v>
      </c>
      <c r="AC78" s="2" t="s">
        <v>51</v>
      </c>
    </row>
    <row r="79" spans="1:29" ht="15.75" customHeight="1" x14ac:dyDescent="0.25">
      <c r="A79" s="9">
        <v>14</v>
      </c>
      <c r="B79" s="2" t="s">
        <v>30</v>
      </c>
      <c r="C79" s="2" t="s">
        <v>40</v>
      </c>
      <c r="D79" s="2" t="s">
        <v>42</v>
      </c>
      <c r="E79" s="2" t="s">
        <v>40</v>
      </c>
      <c r="F79" s="2">
        <v>2018</v>
      </c>
      <c r="G79" s="5">
        <v>43129</v>
      </c>
      <c r="H79" s="5" t="s">
        <v>31</v>
      </c>
      <c r="I79" s="15">
        <v>11.990909090909092</v>
      </c>
      <c r="J79" s="15">
        <v>5.1850659678454507</v>
      </c>
      <c r="K79" s="7">
        <v>7.4090909090909092</v>
      </c>
      <c r="L79" s="7">
        <v>1.9977259799354585</v>
      </c>
      <c r="M79" s="7">
        <v>1.209090909090909</v>
      </c>
      <c r="N79" s="7">
        <v>0.34700013099290206</v>
      </c>
      <c r="O79" s="7">
        <v>3.56</v>
      </c>
      <c r="P79" s="7">
        <v>0.145334343</v>
      </c>
      <c r="Q79" s="7">
        <f t="shared" si="22"/>
        <v>3.6333585749999999</v>
      </c>
      <c r="R79" s="11">
        <f>11/400</f>
        <v>2.75E-2</v>
      </c>
      <c r="S79" s="9">
        <f>11/0.04</f>
        <v>275</v>
      </c>
      <c r="T79" s="7">
        <f>(S79/1450)*100</f>
        <v>18.96551724137931</v>
      </c>
      <c r="U79" s="7">
        <f>(11/58)*100</f>
        <v>18.96551724137931</v>
      </c>
      <c r="V79" s="7">
        <f>(P79/SUM(P79:P80))*100</f>
        <v>25.759225128207987</v>
      </c>
      <c r="W79" s="9">
        <f t="shared" si="24"/>
        <v>63.690259610966606</v>
      </c>
      <c r="X79" s="7">
        <f t="shared" si="25"/>
        <v>0.74029680965625</v>
      </c>
      <c r="Y79" s="2">
        <v>0</v>
      </c>
      <c r="Z79" s="9">
        <v>0</v>
      </c>
      <c r="AA79" s="9">
        <v>0</v>
      </c>
      <c r="AB79" s="9">
        <f t="shared" si="27"/>
        <v>0</v>
      </c>
      <c r="AC79" s="2" t="s">
        <v>51</v>
      </c>
    </row>
    <row r="80" spans="1:29" ht="15.75" customHeight="1" x14ac:dyDescent="0.25">
      <c r="A80" s="9">
        <v>14</v>
      </c>
      <c r="B80" s="2" t="s">
        <v>30</v>
      </c>
      <c r="C80" s="2" t="s">
        <v>40</v>
      </c>
      <c r="D80" s="2" t="s">
        <v>42</v>
      </c>
      <c r="E80" s="2" t="s">
        <v>40</v>
      </c>
      <c r="F80" s="2">
        <v>2018</v>
      </c>
      <c r="G80" s="5">
        <v>43129</v>
      </c>
      <c r="H80" s="5" t="s">
        <v>36</v>
      </c>
      <c r="I80" s="7">
        <v>9.9851063829787243</v>
      </c>
      <c r="J80" s="15">
        <v>3.7508827206524069</v>
      </c>
      <c r="K80" s="7">
        <v>6.5744680851063828</v>
      </c>
      <c r="L80" s="7">
        <v>2.305425367249891</v>
      </c>
      <c r="M80" s="7">
        <v>1.0000000000000002</v>
      </c>
      <c r="N80" s="7">
        <v>0.45707006408018092</v>
      </c>
      <c r="O80" s="7">
        <v>2.63</v>
      </c>
      <c r="P80" s="7">
        <v>0.41886874260000001</v>
      </c>
      <c r="Q80" s="7">
        <f t="shared" si="22"/>
        <v>10.471718565</v>
      </c>
      <c r="R80" s="11">
        <f>47/400</f>
        <v>0.11749999999999999</v>
      </c>
      <c r="S80" s="9">
        <f>47/0.04</f>
        <v>1175</v>
      </c>
      <c r="T80" s="7">
        <f>(S80/1450)*100</f>
        <v>81.034482758620683</v>
      </c>
      <c r="U80" s="7">
        <f>(47/58)*100</f>
        <v>81.034482758620683</v>
      </c>
      <c r="V80" s="7">
        <f>(P80/SUM(P79:P80))*100</f>
        <v>74.240774871792013</v>
      </c>
      <c r="W80" s="9">
        <f t="shared" si="24"/>
        <v>236.30974038903338</v>
      </c>
      <c r="X80" s="7">
        <f t="shared" si="25"/>
        <v>8.0894025914625001</v>
      </c>
      <c r="Y80" s="2">
        <v>0</v>
      </c>
      <c r="Z80" s="8">
        <f>(11*100)/58</f>
        <v>18.96551724137931</v>
      </c>
      <c r="AA80" s="9">
        <v>0</v>
      </c>
      <c r="AB80" s="9">
        <f t="shared" si="27"/>
        <v>0</v>
      </c>
      <c r="AC80" s="2" t="s">
        <v>51</v>
      </c>
    </row>
    <row r="81" spans="1:29" x14ac:dyDescent="0.25">
      <c r="A81" s="9">
        <v>15</v>
      </c>
      <c r="B81" s="2" t="s">
        <v>30</v>
      </c>
      <c r="C81" s="2" t="s">
        <v>40</v>
      </c>
      <c r="D81" s="2" t="s">
        <v>43</v>
      </c>
      <c r="E81" s="2" t="s">
        <v>40</v>
      </c>
      <c r="F81" s="2">
        <v>2018</v>
      </c>
      <c r="G81" s="5">
        <v>43130</v>
      </c>
      <c r="H81" s="5" t="s">
        <v>31</v>
      </c>
      <c r="I81" s="7">
        <v>8.4208955223880562</v>
      </c>
      <c r="J81" s="7">
        <v>4.3388497747337347</v>
      </c>
      <c r="K81" s="7">
        <v>5.553731343283582</v>
      </c>
      <c r="L81" s="7">
        <v>3.0464747813491995</v>
      </c>
      <c r="M81" s="7">
        <v>0.9095000000000002</v>
      </c>
      <c r="N81" s="7">
        <v>0.54876820245631641</v>
      </c>
      <c r="O81" s="7">
        <v>2.34</v>
      </c>
      <c r="P81" s="7">
        <v>0.47072999999999998</v>
      </c>
      <c r="Q81" s="7">
        <f t="shared" si="22"/>
        <v>11.76825</v>
      </c>
      <c r="R81" s="11">
        <f>67/400</f>
        <v>0.16750000000000001</v>
      </c>
      <c r="S81" s="9">
        <f>67/0.04</f>
        <v>1675</v>
      </c>
      <c r="T81" s="9">
        <f>(S81/1675)*100</f>
        <v>100</v>
      </c>
      <c r="U81" s="9">
        <f>(67/67)*100</f>
        <v>100</v>
      </c>
      <c r="V81" s="9">
        <f>(P81/P81)*100</f>
        <v>100</v>
      </c>
      <c r="W81" s="9">
        <f t="shared" si="24"/>
        <v>300</v>
      </c>
      <c r="X81" s="7">
        <f t="shared" si="25"/>
        <v>10.947414562499999</v>
      </c>
      <c r="Y81" s="2">
        <v>0</v>
      </c>
      <c r="Z81" s="8">
        <f>(7*100)/74</f>
        <v>9.4594594594594597</v>
      </c>
      <c r="AA81" s="7">
        <f>22/4</f>
        <v>5.5</v>
      </c>
      <c r="AB81" s="9">
        <f t="shared" si="27"/>
        <v>55000</v>
      </c>
      <c r="AC81" s="2" t="s">
        <v>51</v>
      </c>
    </row>
    <row r="82" spans="1:29" ht="15.75" customHeight="1" x14ac:dyDescent="0.25">
      <c r="A82" s="9">
        <v>16</v>
      </c>
      <c r="B82" s="2" t="s">
        <v>30</v>
      </c>
      <c r="C82" s="2" t="s">
        <v>46</v>
      </c>
      <c r="D82" s="2" t="s">
        <v>59</v>
      </c>
      <c r="E82" s="2" t="s">
        <v>46</v>
      </c>
      <c r="F82" s="2">
        <v>2017</v>
      </c>
      <c r="G82" s="5">
        <v>43055</v>
      </c>
      <c r="H82" s="5" t="s">
        <v>31</v>
      </c>
      <c r="I82" s="15">
        <v>4.0120481927710827</v>
      </c>
      <c r="J82" s="7">
        <v>1.752238818111824</v>
      </c>
      <c r="K82" s="7">
        <v>2.6066265060240972</v>
      </c>
      <c r="L82" s="7">
        <v>0.9406073247050859</v>
      </c>
      <c r="M82" s="7">
        <v>0.25662650602409637</v>
      </c>
      <c r="N82" s="7">
        <v>0.15806973691344958</v>
      </c>
      <c r="O82" s="7">
        <v>1.18</v>
      </c>
      <c r="P82" s="7">
        <v>0.1247042412</v>
      </c>
      <c r="Q82" s="7">
        <f t="shared" si="22"/>
        <v>3.1176060299999997</v>
      </c>
      <c r="R82" s="11">
        <f>83/400</f>
        <v>0.20749999999999999</v>
      </c>
      <c r="S82" s="9">
        <f>83/0.04</f>
        <v>2075</v>
      </c>
      <c r="T82" s="9">
        <f>(S82/2075)*100</f>
        <v>100</v>
      </c>
      <c r="U82" s="9">
        <f>(83/83)*100</f>
        <v>100</v>
      </c>
      <c r="V82" s="9">
        <f>(P82/P82)*100</f>
        <v>100</v>
      </c>
      <c r="W82" s="9">
        <f t="shared" si="24"/>
        <v>300</v>
      </c>
      <c r="X82" s="7">
        <f t="shared" si="25"/>
        <v>1.6862351614762501</v>
      </c>
      <c r="Y82" s="2">
        <v>0</v>
      </c>
      <c r="Z82" s="8">
        <v>0</v>
      </c>
      <c r="AA82" s="7">
        <f>10/4</f>
        <v>2.5</v>
      </c>
      <c r="AB82" s="9">
        <f t="shared" si="27"/>
        <v>25000</v>
      </c>
      <c r="AC82" s="2" t="s">
        <v>51</v>
      </c>
    </row>
    <row r="83" spans="1:29" ht="15.75" customHeight="1" x14ac:dyDescent="0.25">
      <c r="A83" s="9">
        <v>17</v>
      </c>
      <c r="B83" s="2" t="s">
        <v>30</v>
      </c>
      <c r="C83" s="2" t="s">
        <v>46</v>
      </c>
      <c r="D83" s="2" t="s">
        <v>60</v>
      </c>
      <c r="E83" s="2" t="s">
        <v>46</v>
      </c>
      <c r="F83" s="2">
        <v>2017</v>
      </c>
      <c r="G83" s="5">
        <v>43057</v>
      </c>
      <c r="H83" s="5" t="s">
        <v>31</v>
      </c>
      <c r="I83" s="15">
        <v>3.953846153846154</v>
      </c>
      <c r="J83" s="7">
        <v>1.4106821181476492</v>
      </c>
      <c r="K83" s="7">
        <v>2.2615384615384615</v>
      </c>
      <c r="L83" s="7">
        <v>0.64992603129421189</v>
      </c>
      <c r="M83" s="7">
        <v>0.28923076923076935</v>
      </c>
      <c r="N83" s="7">
        <v>0.1917217033579178</v>
      </c>
      <c r="O83" s="7">
        <v>1.2</v>
      </c>
      <c r="P83" s="7">
        <v>8.9800000000000005E-2</v>
      </c>
      <c r="Q83" s="7">
        <f t="shared" si="22"/>
        <v>2.2450000000000001</v>
      </c>
      <c r="R83" s="11">
        <f>65/400</f>
        <v>0.16250000000000001</v>
      </c>
      <c r="S83" s="9">
        <f>65/0.04</f>
        <v>1625</v>
      </c>
      <c r="T83" s="7">
        <f>(S83/1700)*100</f>
        <v>95.588235294117652</v>
      </c>
      <c r="U83" s="7">
        <f>(65/68)*100</f>
        <v>95.588235294117652</v>
      </c>
      <c r="V83" s="7">
        <f>(P83/SUM(P83:P84))*100</f>
        <v>98.357064622124852</v>
      </c>
      <c r="W83" s="9">
        <f t="shared" si="24"/>
        <v>289.53353521036013</v>
      </c>
      <c r="X83" s="7">
        <f t="shared" si="25"/>
        <v>0.82503749999999998</v>
      </c>
      <c r="Y83" s="2">
        <v>0</v>
      </c>
      <c r="Z83" s="8">
        <f>(2*100)/67</f>
        <v>2.9850746268656718</v>
      </c>
      <c r="AA83" s="9">
        <v>0</v>
      </c>
      <c r="AB83" s="2">
        <f t="shared" si="27"/>
        <v>0</v>
      </c>
      <c r="AC83" s="2" t="s">
        <v>51</v>
      </c>
    </row>
    <row r="84" spans="1:29" ht="15.75" customHeight="1" x14ac:dyDescent="0.25">
      <c r="A84" s="9">
        <v>17</v>
      </c>
      <c r="B84" s="2" t="s">
        <v>30</v>
      </c>
      <c r="C84" s="2" t="s">
        <v>46</v>
      </c>
      <c r="D84" s="2" t="s">
        <v>60</v>
      </c>
      <c r="E84" s="2" t="s">
        <v>46</v>
      </c>
      <c r="F84" s="2">
        <v>2017</v>
      </c>
      <c r="G84" s="5">
        <v>43057</v>
      </c>
      <c r="H84" s="5" t="s">
        <v>41</v>
      </c>
      <c r="I84" s="15">
        <v>2.5</v>
      </c>
      <c r="J84" s="7">
        <v>0</v>
      </c>
      <c r="K84" s="7">
        <v>1.7333333333333334</v>
      </c>
      <c r="L84" s="7">
        <v>0.3055050463303885</v>
      </c>
      <c r="M84" s="7">
        <v>0.3833333333333333</v>
      </c>
      <c r="N84" s="7">
        <v>0.12583057392117941</v>
      </c>
      <c r="O84" s="7">
        <v>1.22</v>
      </c>
      <c r="P84" s="7">
        <v>1.5E-3</v>
      </c>
      <c r="Q84" s="7">
        <f t="shared" si="22"/>
        <v>3.7499999999999999E-2</v>
      </c>
      <c r="R84" s="11">
        <f>3/400</f>
        <v>7.4999999999999997E-3</v>
      </c>
      <c r="S84" s="9">
        <f>3/0.04</f>
        <v>75</v>
      </c>
      <c r="T84" s="7">
        <f>(S84/1700)*100</f>
        <v>4.4117647058823533</v>
      </c>
      <c r="U84" s="7">
        <f>(3/68)*100</f>
        <v>4.4117647058823533</v>
      </c>
      <c r="V84" s="7">
        <f>(P84/SUM(P83:P84))*100</f>
        <v>1.642935377875137</v>
      </c>
      <c r="W84" s="9">
        <f t="shared" si="24"/>
        <v>10.466464789639844</v>
      </c>
      <c r="X84" s="7">
        <f t="shared" si="25"/>
        <v>4.8749999999999998E-4</v>
      </c>
      <c r="Y84" s="2">
        <v>0</v>
      </c>
      <c r="Z84" s="9">
        <v>0</v>
      </c>
      <c r="AA84" s="9">
        <v>0</v>
      </c>
      <c r="AB84" s="2">
        <f t="shared" si="27"/>
        <v>0</v>
      </c>
      <c r="AC84" s="2" t="s">
        <v>51</v>
      </c>
    </row>
    <row r="85" spans="1:29" ht="15.75" customHeight="1" x14ac:dyDescent="0.25">
      <c r="A85" s="9">
        <v>18</v>
      </c>
      <c r="B85" s="2" t="s">
        <v>30</v>
      </c>
      <c r="C85" s="2" t="s">
        <v>46</v>
      </c>
      <c r="D85" s="2" t="s">
        <v>61</v>
      </c>
      <c r="E85" s="2" t="s">
        <v>46</v>
      </c>
      <c r="F85" s="2">
        <v>2017</v>
      </c>
      <c r="G85" s="5">
        <v>43048</v>
      </c>
      <c r="H85" s="5" t="s">
        <v>31</v>
      </c>
      <c r="I85" s="15">
        <v>3.8555555555555561</v>
      </c>
      <c r="J85" s="7">
        <v>1.218719728968797</v>
      </c>
      <c r="K85" s="7">
        <v>4.9444444444444446</v>
      </c>
      <c r="L85" s="7">
        <v>2.2142217092644039</v>
      </c>
      <c r="M85" s="7">
        <v>0.31666666666666665</v>
      </c>
      <c r="N85" s="7">
        <v>0.10606601717798217</v>
      </c>
      <c r="O85" s="7">
        <v>1.1200000000000001</v>
      </c>
      <c r="P85" s="7">
        <v>1.14E-2</v>
      </c>
      <c r="Q85" s="7">
        <f t="shared" si="22"/>
        <v>0.28500000000000003</v>
      </c>
      <c r="R85" s="11">
        <f>9/400</f>
        <v>2.2499999999999999E-2</v>
      </c>
      <c r="S85" s="9">
        <f>9/0.04</f>
        <v>225</v>
      </c>
      <c r="T85" s="7">
        <f>(S85/2725)*100</f>
        <v>8.2568807339449553</v>
      </c>
      <c r="U85" s="7">
        <f>(9/109)*100</f>
        <v>8.2568807339449553</v>
      </c>
      <c r="V85" s="7">
        <f>(P85/SUM(P85:P87))*100</f>
        <v>2.9889879391714733</v>
      </c>
      <c r="W85" s="9">
        <f t="shared" si="24"/>
        <v>19.502749407061383</v>
      </c>
      <c r="X85" s="7">
        <f t="shared" si="25"/>
        <v>3.1706249999999998E-2</v>
      </c>
      <c r="Y85" s="2">
        <v>0</v>
      </c>
      <c r="Z85" s="8">
        <f>(1*100)/10</f>
        <v>10</v>
      </c>
      <c r="AA85" s="9">
        <v>0</v>
      </c>
      <c r="AB85" s="2">
        <f t="shared" si="27"/>
        <v>0</v>
      </c>
      <c r="AC85" s="2" t="s">
        <v>51</v>
      </c>
    </row>
    <row r="86" spans="1:29" ht="15.75" customHeight="1" x14ac:dyDescent="0.25">
      <c r="A86" s="9">
        <v>18</v>
      </c>
      <c r="B86" s="2" t="s">
        <v>30</v>
      </c>
      <c r="C86" s="2" t="s">
        <v>46</v>
      </c>
      <c r="D86" s="2" t="s">
        <v>61</v>
      </c>
      <c r="E86" s="2" t="s">
        <v>46</v>
      </c>
      <c r="F86" s="2">
        <v>2017</v>
      </c>
      <c r="G86" s="5">
        <v>43048</v>
      </c>
      <c r="H86" s="5" t="s">
        <v>36</v>
      </c>
      <c r="I86" s="15">
        <v>6.6419354838709674</v>
      </c>
      <c r="J86" s="7">
        <v>2.401825509565823</v>
      </c>
      <c r="K86" s="7">
        <v>8.172043010752688</v>
      </c>
      <c r="L86" s="7">
        <v>2.3527211623341984</v>
      </c>
      <c r="M86" s="7">
        <v>0.47053763440860197</v>
      </c>
      <c r="N86" s="7">
        <v>0.34631402434721109</v>
      </c>
      <c r="O86" s="7">
        <v>1.65</v>
      </c>
      <c r="P86" s="7">
        <v>0.3639</v>
      </c>
      <c r="Q86" s="7">
        <f t="shared" si="22"/>
        <v>9.0975000000000001</v>
      </c>
      <c r="R86" s="11">
        <f>93/400</f>
        <v>0.23250000000000001</v>
      </c>
      <c r="S86" s="9">
        <f>93/0.04</f>
        <v>2325</v>
      </c>
      <c r="T86" s="7">
        <f>(S86/2725)*100</f>
        <v>85.321100917431195</v>
      </c>
      <c r="U86" s="7">
        <f>(93/109)*100</f>
        <v>85.321100917431195</v>
      </c>
      <c r="V86" s="7">
        <f>(P86/SUM(P85:P87))*100</f>
        <v>95.411641321447291</v>
      </c>
      <c r="W86" s="9">
        <f t="shared" si="24"/>
        <v>266.05384315630965</v>
      </c>
      <c r="X86" s="7">
        <f t="shared" si="25"/>
        <v>17.285250000000001</v>
      </c>
      <c r="Y86" s="2">
        <v>0</v>
      </c>
      <c r="Z86" s="8">
        <f>(8*100)/101</f>
        <v>7.9207920792079207</v>
      </c>
      <c r="AA86" s="9">
        <v>0</v>
      </c>
      <c r="AB86" s="2">
        <f t="shared" si="27"/>
        <v>0</v>
      </c>
      <c r="AC86" s="2" t="s">
        <v>51</v>
      </c>
    </row>
    <row r="87" spans="1:29" ht="15.75" customHeight="1" x14ac:dyDescent="0.25">
      <c r="A87" s="9">
        <v>18</v>
      </c>
      <c r="B87" s="2" t="s">
        <v>30</v>
      </c>
      <c r="C87" s="2" t="s">
        <v>46</v>
      </c>
      <c r="D87" s="2" t="s">
        <v>61</v>
      </c>
      <c r="E87" s="2" t="s">
        <v>46</v>
      </c>
      <c r="F87" s="2">
        <v>2017</v>
      </c>
      <c r="G87" s="5">
        <v>43048</v>
      </c>
      <c r="H87" s="5" t="s">
        <v>41</v>
      </c>
      <c r="I87" s="15">
        <v>3.3142857142857141</v>
      </c>
      <c r="J87" s="7">
        <v>0.47409060817728227</v>
      </c>
      <c r="K87" s="7">
        <v>4.0714285714285712</v>
      </c>
      <c r="L87" s="7">
        <v>1.0965313275875668</v>
      </c>
      <c r="M87" s="7">
        <v>0.58571428571428563</v>
      </c>
      <c r="N87" s="7">
        <v>0.29113897843110054</v>
      </c>
      <c r="O87" s="7">
        <v>2.0299999999999998</v>
      </c>
      <c r="P87" s="7">
        <v>6.1000000000000004E-3</v>
      </c>
      <c r="Q87" s="7">
        <f t="shared" si="22"/>
        <v>0.1525</v>
      </c>
      <c r="R87" s="11">
        <f>7/400</f>
        <v>1.7500000000000002E-2</v>
      </c>
      <c r="S87" s="9">
        <f>7/0.04</f>
        <v>175</v>
      </c>
      <c r="T87" s="7">
        <f>(S87/2725)*100</f>
        <v>6.4220183486238538</v>
      </c>
      <c r="U87" s="7">
        <f>(7/109)*100</f>
        <v>6.4220183486238538</v>
      </c>
      <c r="V87" s="7">
        <f>(P87/SUM(P85:P87)*100)</f>
        <v>1.5993707393812271</v>
      </c>
      <c r="W87" s="9">
        <f t="shared" si="24"/>
        <v>14.443407436628934</v>
      </c>
      <c r="X87" s="7">
        <f t="shared" si="25"/>
        <v>1.0865625E-2</v>
      </c>
      <c r="Y87" s="2">
        <v>0</v>
      </c>
      <c r="Z87" s="9">
        <v>0</v>
      </c>
      <c r="AA87" s="9">
        <v>0</v>
      </c>
      <c r="AB87" s="2">
        <f t="shared" si="27"/>
        <v>0</v>
      </c>
      <c r="AC87" s="2" t="s">
        <v>51</v>
      </c>
    </row>
    <row r="88" spans="1:29" ht="15.75" customHeight="1" x14ac:dyDescent="0.25">
      <c r="A88" s="9">
        <v>19</v>
      </c>
      <c r="B88" s="2" t="s">
        <v>30</v>
      </c>
      <c r="C88" s="2" t="s">
        <v>46</v>
      </c>
      <c r="D88" s="2" t="s">
        <v>62</v>
      </c>
      <c r="E88" s="2" t="s">
        <v>46</v>
      </c>
      <c r="F88" s="2">
        <v>2017</v>
      </c>
      <c r="G88" s="5">
        <v>43058</v>
      </c>
      <c r="H88" s="5" t="s">
        <v>31</v>
      </c>
      <c r="I88" s="15">
        <v>3.6590909090909092</v>
      </c>
      <c r="J88" s="7">
        <v>0.69669908166266981</v>
      </c>
      <c r="K88" s="7">
        <v>2.8818181818181823</v>
      </c>
      <c r="L88" s="7">
        <v>0.65656854256219799</v>
      </c>
      <c r="M88" s="7">
        <v>0.35227272727272729</v>
      </c>
      <c r="N88" s="7">
        <v>0.20381905649915996</v>
      </c>
      <c r="O88" s="7">
        <v>0.82</v>
      </c>
      <c r="P88" s="7">
        <v>2.3935064999999995E-2</v>
      </c>
      <c r="Q88" s="7">
        <f t="shared" ref="Q88:Q104" si="28">P88/0.04</f>
        <v>0.59837662499999988</v>
      </c>
      <c r="R88" s="11">
        <f>22/400</f>
        <v>5.5E-2</v>
      </c>
      <c r="S88" s="9">
        <f>22/0.04</f>
        <v>550</v>
      </c>
      <c r="T88" s="7">
        <f>(S88/1275)*100</f>
        <v>43.137254901960787</v>
      </c>
      <c r="U88" s="7">
        <f>(22/51)*100</f>
        <v>43.137254901960787</v>
      </c>
      <c r="V88" s="7">
        <f>(P88/SUM(P88:P90))*100</f>
        <v>25.456717315579759</v>
      </c>
      <c r="W88" s="9">
        <f>T88+U88+V88</f>
        <v>111.73122711950134</v>
      </c>
      <c r="X88" s="7">
        <f t="shared" si="25"/>
        <v>9.4842695062499996E-2</v>
      </c>
      <c r="Y88" s="2">
        <v>0</v>
      </c>
      <c r="Z88" s="8">
        <f>(1*100)/23</f>
        <v>4.3478260869565215</v>
      </c>
      <c r="AA88" s="9">
        <v>0</v>
      </c>
      <c r="AB88" s="2">
        <f t="shared" si="27"/>
        <v>0</v>
      </c>
      <c r="AC88" s="2" t="s">
        <v>51</v>
      </c>
    </row>
    <row r="89" spans="1:29" ht="15.75" customHeight="1" x14ac:dyDescent="0.25">
      <c r="A89" s="9">
        <v>19</v>
      </c>
      <c r="B89" s="2" t="s">
        <v>30</v>
      </c>
      <c r="C89" s="2" t="s">
        <v>46</v>
      </c>
      <c r="D89" s="2" t="s">
        <v>62</v>
      </c>
      <c r="E89" s="2" t="s">
        <v>46</v>
      </c>
      <c r="F89" s="2">
        <v>2017</v>
      </c>
      <c r="G89" s="5">
        <v>43058</v>
      </c>
      <c r="H89" s="5" t="s">
        <v>36</v>
      </c>
      <c r="I89" s="7">
        <v>5.4153846153846157</v>
      </c>
      <c r="J89" s="7">
        <v>1.9870968386452232</v>
      </c>
      <c r="K89" s="7">
        <v>4.5384615384615383</v>
      </c>
      <c r="L89" s="7">
        <v>0.94787211081534517</v>
      </c>
      <c r="M89" s="7">
        <v>0.38846153846153852</v>
      </c>
      <c r="N89" s="7">
        <v>0.22329697369543189</v>
      </c>
      <c r="O89" s="7">
        <v>1.74</v>
      </c>
      <c r="P89" s="7">
        <v>6.7638647999999996E-2</v>
      </c>
      <c r="Q89" s="7">
        <f t="shared" si="28"/>
        <v>1.6909661999999999</v>
      </c>
      <c r="R89" s="11">
        <f>26/400</f>
        <v>6.5000000000000002E-2</v>
      </c>
      <c r="S89" s="9">
        <f>26/0.04</f>
        <v>650</v>
      </c>
      <c r="T89" s="7">
        <f>(S89/1275)*100</f>
        <v>50.980392156862742</v>
      </c>
      <c r="U89" s="7">
        <f>(26/51)*100</f>
        <v>50.980392156862742</v>
      </c>
      <c r="V89" s="7">
        <f>(P89/SUM(P88:P90))*100</f>
        <v>71.938720105585858</v>
      </c>
      <c r="W89" s="9">
        <f t="shared" si="24"/>
        <v>173.89950441931134</v>
      </c>
      <c r="X89" s="7">
        <f t="shared" si="25"/>
        <v>0.49883502899999993</v>
      </c>
      <c r="Y89" s="2">
        <v>0</v>
      </c>
      <c r="Z89" s="8">
        <f>(4*100)/30</f>
        <v>13.333333333333334</v>
      </c>
      <c r="AA89" s="9">
        <v>0</v>
      </c>
      <c r="AB89" s="2">
        <f t="shared" si="27"/>
        <v>0</v>
      </c>
      <c r="AC89" s="2" t="s">
        <v>51</v>
      </c>
    </row>
    <row r="90" spans="1:29" ht="15.75" customHeight="1" x14ac:dyDescent="0.25">
      <c r="A90" s="9">
        <v>19</v>
      </c>
      <c r="B90" s="2" t="s">
        <v>30</v>
      </c>
      <c r="C90" s="2" t="s">
        <v>46</v>
      </c>
      <c r="D90" s="2" t="s">
        <v>62</v>
      </c>
      <c r="E90" s="2" t="s">
        <v>46</v>
      </c>
      <c r="F90" s="2">
        <v>2017</v>
      </c>
      <c r="G90" s="5">
        <v>43058</v>
      </c>
      <c r="H90" s="5" t="s">
        <v>41</v>
      </c>
      <c r="I90" s="7">
        <v>3.1333333333333333</v>
      </c>
      <c r="J90" s="7">
        <v>0.92915732431775599</v>
      </c>
      <c r="K90" s="7">
        <v>2.5</v>
      </c>
      <c r="L90" s="7">
        <v>0</v>
      </c>
      <c r="M90" s="7">
        <v>0.26666666666666666</v>
      </c>
      <c r="N90" s="7">
        <v>0.11547005383792516</v>
      </c>
      <c r="O90" s="7">
        <v>1.45</v>
      </c>
      <c r="P90" s="7">
        <v>2.4488772000000004E-3</v>
      </c>
      <c r="Q90" s="7">
        <f t="shared" si="28"/>
        <v>6.1221930000000008E-2</v>
      </c>
      <c r="R90" s="11">
        <f>3/400</f>
        <v>7.4999999999999997E-3</v>
      </c>
      <c r="S90" s="9">
        <f>3/0.04</f>
        <v>75</v>
      </c>
      <c r="T90" s="7">
        <f>(S90/1275)*100</f>
        <v>5.8823529411764701</v>
      </c>
      <c r="U90" s="7">
        <f>(3/51)*100</f>
        <v>5.8823529411764701</v>
      </c>
      <c r="V90" s="7">
        <f>(P90/SUM(P88:P90))*100</f>
        <v>2.6045625788343796</v>
      </c>
      <c r="W90" s="9">
        <f t="shared" si="24"/>
        <v>14.369268461187319</v>
      </c>
      <c r="X90" s="7">
        <f t="shared" si="25"/>
        <v>1.1479111875000001E-3</v>
      </c>
      <c r="Y90" s="2">
        <v>0</v>
      </c>
      <c r="Z90" s="9">
        <v>0</v>
      </c>
      <c r="AA90" s="9">
        <v>0</v>
      </c>
      <c r="AB90" s="2">
        <f t="shared" si="27"/>
        <v>0</v>
      </c>
      <c r="AC90" s="2" t="s">
        <v>51</v>
      </c>
    </row>
    <row r="91" spans="1:29" ht="15.75" customHeight="1" x14ac:dyDescent="0.25">
      <c r="A91" s="9">
        <v>20</v>
      </c>
      <c r="B91" s="2" t="s">
        <v>30</v>
      </c>
      <c r="C91" s="2" t="s">
        <v>46</v>
      </c>
      <c r="D91" s="2" t="s">
        <v>63</v>
      </c>
      <c r="E91" s="2" t="s">
        <v>46</v>
      </c>
      <c r="F91" s="2">
        <v>2017</v>
      </c>
      <c r="G91" s="5">
        <v>43069</v>
      </c>
      <c r="H91" s="5" t="s">
        <v>31</v>
      </c>
      <c r="I91" s="7">
        <v>4.3199999999999985</v>
      </c>
      <c r="J91" s="7">
        <v>1.4341891341788229</v>
      </c>
      <c r="K91" s="7">
        <v>4.1857142857142859</v>
      </c>
      <c r="L91" s="7">
        <v>1.228562809472681</v>
      </c>
      <c r="M91" s="7">
        <v>0.36407766990291263</v>
      </c>
      <c r="N91" s="7">
        <v>0.20583142816248187</v>
      </c>
      <c r="O91" s="7">
        <v>1.1299999999999999</v>
      </c>
      <c r="P91" s="7">
        <v>0.1694</v>
      </c>
      <c r="Q91" s="7">
        <f t="shared" si="28"/>
        <v>4.2349999999999994</v>
      </c>
      <c r="R91" s="11">
        <f>105/400</f>
        <v>0.26250000000000001</v>
      </c>
      <c r="S91" s="9">
        <f>105/0.04</f>
        <v>2625</v>
      </c>
      <c r="T91" s="7">
        <f>(S91/3050)*100</f>
        <v>86.065573770491795</v>
      </c>
      <c r="U91" s="7">
        <f>(105/122)*100</f>
        <v>86.065573770491795</v>
      </c>
      <c r="V91" s="7">
        <f>(P91/SUM(P91:P93))*100</f>
        <v>59.268266439306416</v>
      </c>
      <c r="W91" s="9">
        <f>T91+U91+V91</f>
        <v>231.39941398029001</v>
      </c>
      <c r="X91" s="7">
        <f t="shared" ref="X91:X113" si="29">1*S91*Q91*K91/10000</f>
        <v>4.6532062499999993</v>
      </c>
      <c r="Y91" s="2">
        <v>0</v>
      </c>
      <c r="Z91" s="8">
        <f>(12*100)/117</f>
        <v>10.256410256410257</v>
      </c>
      <c r="AA91" s="9">
        <v>0</v>
      </c>
      <c r="AB91" s="2">
        <f t="shared" si="27"/>
        <v>0</v>
      </c>
      <c r="AC91" s="2" t="s">
        <v>51</v>
      </c>
    </row>
    <row r="92" spans="1:29" ht="15.75" customHeight="1" x14ac:dyDescent="0.25">
      <c r="A92" s="9">
        <v>20</v>
      </c>
      <c r="B92" s="2" t="s">
        <v>30</v>
      </c>
      <c r="C92" s="2" t="s">
        <v>46</v>
      </c>
      <c r="D92" s="2" t="s">
        <v>63</v>
      </c>
      <c r="E92" s="2" t="s">
        <v>46</v>
      </c>
      <c r="F92" s="2">
        <v>2017</v>
      </c>
      <c r="G92" s="5">
        <v>43069</v>
      </c>
      <c r="H92" s="5" t="s">
        <v>36</v>
      </c>
      <c r="I92" s="7">
        <v>8.9375</v>
      </c>
      <c r="J92" s="7">
        <v>3.6329739883461865</v>
      </c>
      <c r="K92" s="7">
        <v>6.1875</v>
      </c>
      <c r="L92" s="7">
        <v>1.3647344063956182</v>
      </c>
      <c r="M92" s="7">
        <v>0.38124999999999998</v>
      </c>
      <c r="N92" s="7">
        <v>0.20402205763103173</v>
      </c>
      <c r="O92" s="7">
        <v>2.78</v>
      </c>
      <c r="P92" s="7">
        <v>0.11592818159999999</v>
      </c>
      <c r="Q92" s="7">
        <f t="shared" si="28"/>
        <v>2.8982045399999996</v>
      </c>
      <c r="R92" s="11">
        <f>16/400</f>
        <v>0.04</v>
      </c>
      <c r="S92" s="9">
        <f>16/0.04</f>
        <v>400</v>
      </c>
      <c r="T92" s="7">
        <f>(S92/3050)*100</f>
        <v>13.114754098360656</v>
      </c>
      <c r="U92" s="7">
        <f>(16/122)*100</f>
        <v>13.114754098360656</v>
      </c>
      <c r="V92" s="7">
        <f>(P92/SUM(P91:P93))*100</f>
        <v>40.559990288625144</v>
      </c>
      <c r="W92" s="9">
        <f t="shared" si="24"/>
        <v>66.789498485346456</v>
      </c>
      <c r="X92" s="7">
        <f t="shared" si="29"/>
        <v>0.71730562364999995</v>
      </c>
      <c r="Y92" s="2">
        <v>0</v>
      </c>
      <c r="Z92" s="8">
        <f>(4*100)/20</f>
        <v>20</v>
      </c>
      <c r="AA92" s="9">
        <v>0</v>
      </c>
      <c r="AB92" s="2">
        <f t="shared" si="27"/>
        <v>0</v>
      </c>
      <c r="AC92" s="2" t="s">
        <v>51</v>
      </c>
    </row>
    <row r="93" spans="1:29" ht="15.75" customHeight="1" x14ac:dyDescent="0.25">
      <c r="A93" s="9">
        <v>20</v>
      </c>
      <c r="B93" s="2" t="s">
        <v>30</v>
      </c>
      <c r="C93" s="2" t="s">
        <v>46</v>
      </c>
      <c r="D93" s="2" t="s">
        <v>63</v>
      </c>
      <c r="E93" s="2" t="s">
        <v>46</v>
      </c>
      <c r="F93" s="2">
        <v>2017</v>
      </c>
      <c r="G93" s="5">
        <v>43069</v>
      </c>
      <c r="H93" s="5" t="s">
        <v>41</v>
      </c>
      <c r="I93" s="7">
        <v>2.5</v>
      </c>
      <c r="J93" s="7" t="s">
        <v>51</v>
      </c>
      <c r="K93" s="7">
        <v>2.5</v>
      </c>
      <c r="L93" s="7" t="s">
        <v>51</v>
      </c>
      <c r="M93" s="7">
        <v>0.15</v>
      </c>
      <c r="N93" s="7" t="s">
        <v>51</v>
      </c>
      <c r="O93" s="7">
        <v>1.2</v>
      </c>
      <c r="P93" s="7">
        <v>4.9087499999999999E-4</v>
      </c>
      <c r="Q93" s="7">
        <f t="shared" si="28"/>
        <v>1.2271875E-2</v>
      </c>
      <c r="R93" s="11">
        <f>1/400</f>
        <v>2.5000000000000001E-3</v>
      </c>
      <c r="S93" s="9">
        <f>1/0.04</f>
        <v>25</v>
      </c>
      <c r="T93" s="7">
        <f>(S93/3050)*100</f>
        <v>0.81967213114754101</v>
      </c>
      <c r="U93" s="7">
        <f>(1/122)*100</f>
        <v>0.81967213114754101</v>
      </c>
      <c r="V93" s="7">
        <f>(P93/SUM(P91:P93))*100</f>
        <v>0.17174327206844475</v>
      </c>
      <c r="W93" s="9">
        <f t="shared" si="24"/>
        <v>1.8110875343635269</v>
      </c>
      <c r="X93" s="7">
        <f t="shared" si="29"/>
        <v>7.6699218749999985E-5</v>
      </c>
      <c r="Y93" s="2">
        <v>0</v>
      </c>
      <c r="Z93" s="9">
        <v>0</v>
      </c>
      <c r="AA93" s="9">
        <v>0</v>
      </c>
      <c r="AB93" s="2">
        <f t="shared" si="27"/>
        <v>0</v>
      </c>
      <c r="AC93" s="2" t="s">
        <v>51</v>
      </c>
    </row>
    <row r="94" spans="1:29" ht="15.75" customHeight="1" x14ac:dyDescent="0.25">
      <c r="A94" s="9">
        <v>21</v>
      </c>
      <c r="B94" s="2" t="s">
        <v>30</v>
      </c>
      <c r="C94" s="2" t="s">
        <v>47</v>
      </c>
      <c r="D94" s="2" t="s">
        <v>64</v>
      </c>
      <c r="E94" s="2" t="s">
        <v>47</v>
      </c>
      <c r="F94" s="2">
        <v>2017</v>
      </c>
      <c r="G94" s="5">
        <v>42994</v>
      </c>
      <c r="H94" s="5" t="s">
        <v>31</v>
      </c>
      <c r="I94" s="7">
        <v>5.0259999999999998</v>
      </c>
      <c r="J94" s="7">
        <v>1.931001770894055</v>
      </c>
      <c r="K94" s="7">
        <v>3.6485000000000003</v>
      </c>
      <c r="L94" s="7">
        <v>1.1469416400271373</v>
      </c>
      <c r="M94" s="7">
        <v>0.53975000000000017</v>
      </c>
      <c r="N94" s="7">
        <v>0.34880620168176224</v>
      </c>
      <c r="O94" s="7">
        <v>1.35</v>
      </c>
      <c r="P94" s="7">
        <v>0.4551</v>
      </c>
      <c r="Q94" s="7">
        <f t="shared" si="28"/>
        <v>11.3775</v>
      </c>
      <c r="R94" s="7">
        <f>200/400</f>
        <v>0.5</v>
      </c>
      <c r="S94" s="9">
        <f>200/0.04</f>
        <v>5000</v>
      </c>
      <c r="T94" s="9">
        <f>(S94/5000)*100</f>
        <v>100</v>
      </c>
      <c r="U94" s="9">
        <f>(200/200)*100</f>
        <v>100</v>
      </c>
      <c r="V94" s="9">
        <f>(P94/P94)*100</f>
        <v>100</v>
      </c>
      <c r="W94" s="9">
        <f t="shared" si="24"/>
        <v>300</v>
      </c>
      <c r="X94" s="7">
        <f t="shared" si="29"/>
        <v>20.755404375000001</v>
      </c>
      <c r="Y94" s="2">
        <v>0</v>
      </c>
      <c r="Z94" s="8">
        <f>(4*100)/204</f>
        <v>1.9607843137254901</v>
      </c>
      <c r="AA94" s="9">
        <v>0</v>
      </c>
      <c r="AB94" s="2">
        <f t="shared" si="27"/>
        <v>0</v>
      </c>
      <c r="AC94" s="2" t="s">
        <v>51</v>
      </c>
    </row>
    <row r="95" spans="1:29" ht="15.75" customHeight="1" x14ac:dyDescent="0.25">
      <c r="A95" s="9">
        <v>22</v>
      </c>
      <c r="B95" s="2" t="s">
        <v>30</v>
      </c>
      <c r="C95" s="2" t="s">
        <v>47</v>
      </c>
      <c r="D95" s="2" t="s">
        <v>65</v>
      </c>
      <c r="E95" s="2" t="s">
        <v>47</v>
      </c>
      <c r="F95" s="2">
        <v>2017</v>
      </c>
      <c r="G95" s="5">
        <v>42987</v>
      </c>
      <c r="H95" s="5" t="s">
        <v>31</v>
      </c>
      <c r="I95" s="7">
        <v>4.7337499999999997</v>
      </c>
      <c r="J95" s="7">
        <v>2.8602444681742716</v>
      </c>
      <c r="K95" s="7">
        <v>3.2649999999999992</v>
      </c>
      <c r="L95" s="7">
        <v>1.4817967198598276</v>
      </c>
      <c r="M95" s="7">
        <v>0.5306249999999999</v>
      </c>
      <c r="N95" s="7">
        <v>0.273687171276841</v>
      </c>
      <c r="O95" s="7">
        <v>1.32</v>
      </c>
      <c r="P95" s="7">
        <v>0.19159999999999999</v>
      </c>
      <c r="Q95" s="7">
        <f t="shared" si="28"/>
        <v>4.79</v>
      </c>
      <c r="R95" s="11">
        <f>80/400</f>
        <v>0.2</v>
      </c>
      <c r="S95" s="9">
        <f>80/0.04</f>
        <v>2000</v>
      </c>
      <c r="T95" s="7">
        <f>(S95/5300)*100</f>
        <v>37.735849056603776</v>
      </c>
      <c r="U95" s="7">
        <f>(80/212)*100</f>
        <v>37.735849056603776</v>
      </c>
      <c r="V95" s="7">
        <f>(P95/SUM(P95:P96)*100)</f>
        <v>46.257846450989859</v>
      </c>
      <c r="W95" s="9">
        <f t="shared" si="24"/>
        <v>121.72954456419741</v>
      </c>
      <c r="X95" s="7">
        <f t="shared" si="29"/>
        <v>3.1278699999999993</v>
      </c>
      <c r="Y95" s="2">
        <v>0</v>
      </c>
      <c r="Z95" s="8">
        <f>(4*100)/84</f>
        <v>4.7619047619047619</v>
      </c>
      <c r="AA95" s="9">
        <v>0</v>
      </c>
      <c r="AB95" s="2">
        <f t="shared" ref="AB95:AB99" si="30">AA95*10000</f>
        <v>0</v>
      </c>
      <c r="AC95" s="2" t="s">
        <v>51</v>
      </c>
    </row>
    <row r="96" spans="1:29" ht="15.75" customHeight="1" x14ac:dyDescent="0.25">
      <c r="A96" s="9">
        <v>22</v>
      </c>
      <c r="B96" s="2" t="s">
        <v>30</v>
      </c>
      <c r="C96" s="2" t="s">
        <v>47</v>
      </c>
      <c r="D96" s="2" t="s">
        <v>65</v>
      </c>
      <c r="E96" s="2" t="s">
        <v>47</v>
      </c>
      <c r="F96" s="2">
        <v>2017</v>
      </c>
      <c r="G96" s="5">
        <v>42987</v>
      </c>
      <c r="H96" s="5" t="s">
        <v>36</v>
      </c>
      <c r="I96" s="7">
        <v>4.2704545454545455</v>
      </c>
      <c r="J96" s="7">
        <v>1.8060854990778197</v>
      </c>
      <c r="K96" s="7">
        <v>3.9537878787878786</v>
      </c>
      <c r="L96" s="7">
        <v>1.1177543806330934</v>
      </c>
      <c r="M96" s="7">
        <v>0.53712121212121189</v>
      </c>
      <c r="N96" s="7">
        <v>0.22595186376184431</v>
      </c>
      <c r="O96" s="7">
        <v>1.1200000000000001</v>
      </c>
      <c r="P96" s="7">
        <v>0.22259999999999999</v>
      </c>
      <c r="Q96" s="7">
        <f t="shared" si="28"/>
        <v>5.5649999999999995</v>
      </c>
      <c r="R96" s="11">
        <f>132/400</f>
        <v>0.33</v>
      </c>
      <c r="S96" s="9">
        <f>132/0.04</f>
        <v>3300</v>
      </c>
      <c r="T96" s="7">
        <f>(S96/5300)*100</f>
        <v>62.264150943396224</v>
      </c>
      <c r="U96" s="7">
        <f>(132/212)*100</f>
        <v>62.264150943396224</v>
      </c>
      <c r="V96" s="7">
        <f>(P96/SUM(P95:P96))*100</f>
        <v>53.742153549010141</v>
      </c>
      <c r="W96" s="9">
        <f t="shared" si="24"/>
        <v>178.2704554358026</v>
      </c>
      <c r="X96" s="7">
        <f t="shared" si="29"/>
        <v>7.2609337499999995</v>
      </c>
      <c r="Y96" s="2">
        <v>0</v>
      </c>
      <c r="Z96" s="9">
        <v>0</v>
      </c>
      <c r="AA96" s="9">
        <f>96/4</f>
        <v>24</v>
      </c>
      <c r="AB96" s="2">
        <f t="shared" si="30"/>
        <v>240000</v>
      </c>
      <c r="AC96" s="2" t="s">
        <v>51</v>
      </c>
    </row>
    <row r="97" spans="1:29" ht="15.75" customHeight="1" x14ac:dyDescent="0.25">
      <c r="A97" s="9">
        <v>23</v>
      </c>
      <c r="B97" s="2" t="s">
        <v>30</v>
      </c>
      <c r="C97" s="2" t="s">
        <v>47</v>
      </c>
      <c r="D97" s="2" t="s">
        <v>66</v>
      </c>
      <c r="E97" s="2" t="s">
        <v>47</v>
      </c>
      <c r="F97" s="2">
        <v>2017</v>
      </c>
      <c r="G97" s="5">
        <v>43001</v>
      </c>
      <c r="H97" s="5" t="s">
        <v>31</v>
      </c>
      <c r="I97" s="7">
        <v>7.43732394366197</v>
      </c>
      <c r="J97" s="7">
        <v>3.2325825513130932</v>
      </c>
      <c r="K97" s="7">
        <v>6.577464788732394</v>
      </c>
      <c r="L97" s="7">
        <v>3.0031282594526338</v>
      </c>
      <c r="M97" s="7">
        <v>0.6725352112676054</v>
      </c>
      <c r="N97" s="7">
        <v>0.42227757436928132</v>
      </c>
      <c r="O97" s="7">
        <v>1.93</v>
      </c>
      <c r="P97" s="7">
        <v>0.73260000000000003</v>
      </c>
      <c r="Q97" s="7">
        <f t="shared" si="28"/>
        <v>18.315000000000001</v>
      </c>
      <c r="R97" s="7">
        <f>142/400</f>
        <v>0.35499999999999998</v>
      </c>
      <c r="S97" s="9">
        <f>142/0.04</f>
        <v>3550</v>
      </c>
      <c r="T97" s="7">
        <f>(S97/3825)*100</f>
        <v>92.810457516339866</v>
      </c>
      <c r="U97" s="7">
        <f>(142/153)*100</f>
        <v>92.810457516339866</v>
      </c>
      <c r="V97" s="7">
        <f>(P97/SUM(P97:P99))*100</f>
        <v>89.413390882906413</v>
      </c>
      <c r="W97" s="9">
        <f t="shared" si="24"/>
        <v>275.03430591558617</v>
      </c>
      <c r="X97" s="7">
        <f t="shared" si="29"/>
        <v>42.765524999999997</v>
      </c>
      <c r="Y97" s="2">
        <v>0</v>
      </c>
      <c r="Z97" s="8">
        <f>(10*100)/152</f>
        <v>6.5789473684210522</v>
      </c>
      <c r="AA97" s="9">
        <v>0</v>
      </c>
      <c r="AB97" s="2">
        <f t="shared" si="30"/>
        <v>0</v>
      </c>
      <c r="AC97" s="2" t="s">
        <v>51</v>
      </c>
    </row>
    <row r="98" spans="1:29" ht="15.75" customHeight="1" x14ac:dyDescent="0.25">
      <c r="A98" s="9">
        <v>23</v>
      </c>
      <c r="B98" s="2" t="s">
        <v>30</v>
      </c>
      <c r="C98" s="2" t="s">
        <v>47</v>
      </c>
      <c r="D98" s="2" t="s">
        <v>66</v>
      </c>
      <c r="E98" s="2" t="s">
        <v>47</v>
      </c>
      <c r="F98" s="2">
        <v>2017</v>
      </c>
      <c r="G98" s="5">
        <v>43001</v>
      </c>
      <c r="H98" s="5" t="s">
        <v>36</v>
      </c>
      <c r="I98" s="7">
        <v>9.7099999999999991</v>
      </c>
      <c r="J98" s="7">
        <v>3.8954246666227985</v>
      </c>
      <c r="K98" s="7">
        <v>8.6999999999999993</v>
      </c>
      <c r="L98" s="7">
        <v>2.4404006956964173</v>
      </c>
      <c r="M98" s="7">
        <v>0.79</v>
      </c>
      <c r="N98" s="7">
        <v>0.36040101122068019</v>
      </c>
      <c r="O98" s="7">
        <v>3.09</v>
      </c>
      <c r="P98" s="7">
        <v>8.47768614E-2</v>
      </c>
      <c r="Q98" s="7">
        <f t="shared" si="28"/>
        <v>2.1194215349999999</v>
      </c>
      <c r="R98" s="7">
        <f>10/400</f>
        <v>2.5000000000000001E-2</v>
      </c>
      <c r="S98" s="9">
        <f>10/0.04</f>
        <v>250</v>
      </c>
      <c r="T98" s="7">
        <f>(S98/3825)*100</f>
        <v>6.5359477124183014</v>
      </c>
      <c r="U98" s="7">
        <f>(10/153)*100</f>
        <v>6.5359477124183014</v>
      </c>
      <c r="V98" s="7">
        <f>(P98/SUM(P97:P99))*100</f>
        <v>10.346965119006525</v>
      </c>
      <c r="W98" s="9">
        <f t="shared" si="24"/>
        <v>23.418860543843127</v>
      </c>
      <c r="X98" s="7">
        <f t="shared" si="29"/>
        <v>0.46097418386249994</v>
      </c>
      <c r="Y98" s="2">
        <v>0</v>
      </c>
      <c r="Z98" s="9">
        <v>0</v>
      </c>
      <c r="AA98" s="9">
        <v>0</v>
      </c>
      <c r="AB98" s="2">
        <f t="shared" si="30"/>
        <v>0</v>
      </c>
      <c r="AC98" s="2" t="s">
        <v>51</v>
      </c>
    </row>
    <row r="99" spans="1:29" ht="15.75" customHeight="1" x14ac:dyDescent="0.25">
      <c r="A99" s="9">
        <v>23</v>
      </c>
      <c r="B99" s="2" t="s">
        <v>30</v>
      </c>
      <c r="C99" s="2" t="s">
        <v>47</v>
      </c>
      <c r="D99" s="2" t="s">
        <v>66</v>
      </c>
      <c r="E99" s="2" t="s">
        <v>47</v>
      </c>
      <c r="F99" s="2">
        <v>2017</v>
      </c>
      <c r="G99" s="5">
        <v>43001</v>
      </c>
      <c r="H99" s="5" t="s">
        <v>41</v>
      </c>
      <c r="I99" s="7">
        <v>5</v>
      </c>
      <c r="J99" s="7" t="s">
        <v>51</v>
      </c>
      <c r="K99" s="7">
        <v>4</v>
      </c>
      <c r="L99" s="7" t="s">
        <v>51</v>
      </c>
      <c r="M99" s="7">
        <v>0.4</v>
      </c>
      <c r="N99" s="7" t="s">
        <v>51</v>
      </c>
      <c r="O99" s="7">
        <v>3.4</v>
      </c>
      <c r="P99" s="25">
        <v>1.9635E-3</v>
      </c>
      <c r="Q99" s="7">
        <f t="shared" si="28"/>
        <v>4.9087499999999999E-2</v>
      </c>
      <c r="R99" s="7">
        <f>1/400</f>
        <v>2.5000000000000001E-3</v>
      </c>
      <c r="S99" s="9">
        <f>1/0.04</f>
        <v>25</v>
      </c>
      <c r="T99" s="7">
        <f>(S99/3825)*100</f>
        <v>0.65359477124183007</v>
      </c>
      <c r="U99" s="7">
        <f>(1/153)*100</f>
        <v>0.65359477124183007</v>
      </c>
      <c r="V99" s="7">
        <f>(P99/SUM(P97:P99))*100</f>
        <v>0.23964399808706896</v>
      </c>
      <c r="W99" s="9">
        <f t="shared" si="24"/>
        <v>1.5468335405707292</v>
      </c>
      <c r="X99" s="7">
        <f t="shared" si="29"/>
        <v>4.9087499999999999E-4</v>
      </c>
      <c r="Y99" s="2">
        <v>0</v>
      </c>
      <c r="Z99" s="9">
        <v>0</v>
      </c>
      <c r="AA99" s="9">
        <v>0</v>
      </c>
      <c r="AB99" s="2">
        <f t="shared" si="30"/>
        <v>0</v>
      </c>
      <c r="AC99" s="2" t="s">
        <v>51</v>
      </c>
    </row>
    <row r="100" spans="1:29" ht="15.75" customHeight="1" x14ac:dyDescent="0.25">
      <c r="A100" s="9">
        <v>24</v>
      </c>
      <c r="B100" s="2" t="s">
        <v>30</v>
      </c>
      <c r="C100" s="2" t="s">
        <v>47</v>
      </c>
      <c r="D100" s="2" t="s">
        <v>67</v>
      </c>
      <c r="E100" s="2" t="s">
        <v>47</v>
      </c>
      <c r="F100" s="2">
        <v>2017</v>
      </c>
      <c r="G100" s="5">
        <v>43013</v>
      </c>
      <c r="H100" s="5" t="s">
        <v>31</v>
      </c>
      <c r="I100" s="7">
        <v>4.083720930232559</v>
      </c>
      <c r="J100" s="7">
        <v>1.6341114127987473</v>
      </c>
      <c r="K100" s="7">
        <v>2.808139534883721</v>
      </c>
      <c r="L100" s="7">
        <v>0.86598670228604091</v>
      </c>
      <c r="M100" s="7">
        <v>0.40431034482758632</v>
      </c>
      <c r="N100" s="7">
        <v>0.28218235413461296</v>
      </c>
      <c r="O100" s="7">
        <v>1.08</v>
      </c>
      <c r="P100" s="7">
        <v>0.13046907720000003</v>
      </c>
      <c r="Q100" s="7">
        <f t="shared" si="28"/>
        <v>3.2617269300000009</v>
      </c>
      <c r="R100" s="11">
        <f>86/400</f>
        <v>0.215</v>
      </c>
      <c r="S100" s="9">
        <f>86/0.04</f>
        <v>2150</v>
      </c>
      <c r="T100" s="7">
        <f>(S100/3475)*100</f>
        <v>61.870503597122308</v>
      </c>
      <c r="U100" s="7">
        <f>(86/139)*100</f>
        <v>61.870503597122308</v>
      </c>
      <c r="V100" s="7">
        <f>(P100/SUM(P100:P101))*100</f>
        <v>67.888333544482265</v>
      </c>
      <c r="W100" s="9">
        <f t="shared" si="24"/>
        <v>191.62934073872688</v>
      </c>
      <c r="X100" s="7">
        <f t="shared" si="29"/>
        <v>1.9692676339875008</v>
      </c>
      <c r="Y100" s="2">
        <v>0</v>
      </c>
      <c r="Z100" s="8">
        <f>(14*100)/100</f>
        <v>14</v>
      </c>
      <c r="AA100" s="7">
        <f>23/4</f>
        <v>5.75</v>
      </c>
      <c r="AB100" s="9">
        <f t="shared" ref="AB100:AB101" si="31">AA100*10000</f>
        <v>57500</v>
      </c>
      <c r="AC100" s="2" t="s">
        <v>51</v>
      </c>
    </row>
    <row r="101" spans="1:29" ht="15.75" customHeight="1" x14ac:dyDescent="0.25">
      <c r="A101" s="9">
        <v>24</v>
      </c>
      <c r="B101" s="2" t="s">
        <v>30</v>
      </c>
      <c r="C101" s="2" t="s">
        <v>47</v>
      </c>
      <c r="D101" s="2" t="s">
        <v>67</v>
      </c>
      <c r="E101" s="2" t="s">
        <v>47</v>
      </c>
      <c r="F101" s="2">
        <v>2017</v>
      </c>
      <c r="G101" s="5">
        <v>43013</v>
      </c>
      <c r="H101" s="5" t="s">
        <v>36</v>
      </c>
      <c r="I101" s="7">
        <v>3.7490566037735857</v>
      </c>
      <c r="J101" s="7">
        <v>0.88592034750253068</v>
      </c>
      <c r="K101" s="7">
        <v>3.2169811320754715</v>
      </c>
      <c r="L101" s="7">
        <v>0.75644305522028688</v>
      </c>
      <c r="M101" s="7">
        <v>0.45740740740740754</v>
      </c>
      <c r="N101" s="7">
        <v>0.34179157451052833</v>
      </c>
      <c r="O101" s="7">
        <v>1.1399999999999999</v>
      </c>
      <c r="P101" s="7">
        <v>6.1712804999999996E-2</v>
      </c>
      <c r="Q101" s="7">
        <f t="shared" si="28"/>
        <v>1.5428201249999998</v>
      </c>
      <c r="R101" s="11">
        <f>53/400</f>
        <v>0.13250000000000001</v>
      </c>
      <c r="S101" s="9">
        <f>53/0.04</f>
        <v>1325</v>
      </c>
      <c r="T101" s="7">
        <f>(S101/3475)*100</f>
        <v>38.129496402877699</v>
      </c>
      <c r="U101" s="7">
        <f>(53/139)*100</f>
        <v>38.129496402877699</v>
      </c>
      <c r="V101" s="7">
        <f>(P101/SUM(P100:P101))*100</f>
        <v>32.111666455517721</v>
      </c>
      <c r="W101" s="9">
        <f t="shared" si="24"/>
        <v>108.37065926127312</v>
      </c>
      <c r="X101" s="7">
        <f t="shared" si="29"/>
        <v>0.65762707828124989</v>
      </c>
      <c r="Y101" s="2">
        <v>0</v>
      </c>
      <c r="Z101" s="9">
        <v>0</v>
      </c>
      <c r="AA101" s="7">
        <f>6/4</f>
        <v>1.5</v>
      </c>
      <c r="AB101" s="9">
        <f t="shared" si="31"/>
        <v>15000</v>
      </c>
      <c r="AC101" s="2" t="s">
        <v>51</v>
      </c>
    </row>
    <row r="102" spans="1:29" ht="15.75" customHeight="1" x14ac:dyDescent="0.25">
      <c r="A102" s="9">
        <v>25</v>
      </c>
      <c r="B102" s="2" t="s">
        <v>30</v>
      </c>
      <c r="C102" s="2" t="s">
        <v>47</v>
      </c>
      <c r="D102" s="2" t="s">
        <v>68</v>
      </c>
      <c r="E102" s="2" t="s">
        <v>47</v>
      </c>
      <c r="F102" s="2">
        <v>2017</v>
      </c>
      <c r="G102" s="5">
        <v>43007</v>
      </c>
      <c r="H102" s="5" t="s">
        <v>31</v>
      </c>
      <c r="I102" s="7">
        <v>4.757777777777779</v>
      </c>
      <c r="J102" s="7">
        <v>2.1314195961728162</v>
      </c>
      <c r="K102" s="7">
        <v>3.2590909090909084</v>
      </c>
      <c r="L102" s="7">
        <v>1.1173426267061275</v>
      </c>
      <c r="M102" s="7">
        <v>0.60777777777777775</v>
      </c>
      <c r="N102" s="7">
        <v>0.27426669907632301</v>
      </c>
      <c r="O102" s="7">
        <v>1.42</v>
      </c>
      <c r="P102" s="7">
        <v>9.5703346200000011E-2</v>
      </c>
      <c r="Q102" s="7">
        <f t="shared" si="28"/>
        <v>2.3925836550000001</v>
      </c>
      <c r="R102" s="11">
        <f>45/400</f>
        <v>0.1125</v>
      </c>
      <c r="S102" s="9">
        <f>45/0.04</f>
        <v>1125</v>
      </c>
      <c r="T102" s="7">
        <f>(S102/3800)*100</f>
        <v>29.605263157894733</v>
      </c>
      <c r="U102" s="7">
        <f>(45/152)*100</f>
        <v>29.605263157894733</v>
      </c>
      <c r="V102" s="7">
        <f>(P102/SUM(P102:P104))*100</f>
        <v>41.02324282980495</v>
      </c>
      <c r="W102" s="9">
        <f t="shared" si="24"/>
        <v>100.23376914559441</v>
      </c>
      <c r="X102" s="7">
        <f t="shared" si="29"/>
        <v>0.87723535941562492</v>
      </c>
      <c r="Y102" s="2">
        <v>0</v>
      </c>
      <c r="Z102" s="8">
        <f>(21*100)/66</f>
        <v>31.818181818181817</v>
      </c>
      <c r="AA102" s="7">
        <f>1/4</f>
        <v>0.25</v>
      </c>
      <c r="AB102" s="9">
        <f>AA102*10000</f>
        <v>2500</v>
      </c>
      <c r="AC102" s="2" t="s">
        <v>51</v>
      </c>
    </row>
    <row r="103" spans="1:29" ht="15.75" customHeight="1" x14ac:dyDescent="0.25">
      <c r="A103" s="9">
        <v>25</v>
      </c>
      <c r="B103" s="2" t="s">
        <v>30</v>
      </c>
      <c r="C103" s="2" t="s">
        <v>47</v>
      </c>
      <c r="D103" s="2" t="s">
        <v>68</v>
      </c>
      <c r="E103" s="2" t="s">
        <v>47</v>
      </c>
      <c r="F103" s="2">
        <v>2017</v>
      </c>
      <c r="G103" s="5">
        <v>43007</v>
      </c>
      <c r="H103" s="5" t="s">
        <v>36</v>
      </c>
      <c r="I103" s="7">
        <v>3.9371428571428564</v>
      </c>
      <c r="J103" s="7">
        <v>1.0614455552060489</v>
      </c>
      <c r="K103" s="7">
        <v>3.6320754716981134</v>
      </c>
      <c r="L103" s="7">
        <v>1.0763737330952456</v>
      </c>
      <c r="M103" s="7">
        <v>0.61273584905660372</v>
      </c>
      <c r="N103" s="7">
        <v>0.27783699578424642</v>
      </c>
      <c r="O103" s="7">
        <v>1.2</v>
      </c>
      <c r="P103" s="7">
        <v>0.13688029740000002</v>
      </c>
      <c r="Q103" s="7">
        <f t="shared" si="28"/>
        <v>3.4220074350000003</v>
      </c>
      <c r="R103" s="11">
        <f>106/400</f>
        <v>0.26500000000000001</v>
      </c>
      <c r="S103" s="9">
        <f>106/0.04</f>
        <v>2650</v>
      </c>
      <c r="T103" s="7">
        <f>(S103/3800)*100</f>
        <v>69.73684210526315</v>
      </c>
      <c r="U103" s="7">
        <f>(106/152)*100</f>
        <v>69.73684210526315</v>
      </c>
      <c r="V103" s="7">
        <f>(P103/SUM((P102:P104))*100)</f>
        <v>58.67374445948181</v>
      </c>
      <c r="W103" s="9">
        <f t="shared" si="24"/>
        <v>198.14742867000811</v>
      </c>
      <c r="X103" s="7">
        <f t="shared" si="29"/>
        <v>3.2936821561875003</v>
      </c>
      <c r="Y103" s="2">
        <v>0</v>
      </c>
      <c r="Z103" s="8">
        <f>(2*100)/108</f>
        <v>1.8518518518518519</v>
      </c>
      <c r="AA103" s="9">
        <v>0</v>
      </c>
      <c r="AB103" s="9">
        <f>AA103*10000</f>
        <v>0</v>
      </c>
      <c r="AC103" s="2" t="s">
        <v>51</v>
      </c>
    </row>
    <row r="104" spans="1:29" ht="15.75" customHeight="1" x14ac:dyDescent="0.25">
      <c r="A104" s="9">
        <v>25</v>
      </c>
      <c r="B104" s="2" t="s">
        <v>30</v>
      </c>
      <c r="C104" s="2" t="s">
        <v>47</v>
      </c>
      <c r="D104" s="2" t="s">
        <v>68</v>
      </c>
      <c r="E104" s="2" t="s">
        <v>47</v>
      </c>
      <c r="F104" s="2">
        <v>2017</v>
      </c>
      <c r="G104" s="5">
        <v>43007</v>
      </c>
      <c r="H104" s="5" t="s">
        <v>41</v>
      </c>
      <c r="I104" s="7">
        <v>3</v>
      </c>
      <c r="J104" s="7" t="s">
        <v>51</v>
      </c>
      <c r="K104" s="7">
        <v>1.2</v>
      </c>
      <c r="L104" s="7" t="s">
        <v>51</v>
      </c>
      <c r="M104" s="7">
        <v>0.3</v>
      </c>
      <c r="N104" s="7" t="s">
        <v>51</v>
      </c>
      <c r="O104" s="7">
        <v>1.8</v>
      </c>
      <c r="P104" s="7">
        <v>7.069E-4</v>
      </c>
      <c r="Q104" s="7">
        <f t="shared" si="28"/>
        <v>1.7672500000000001E-2</v>
      </c>
      <c r="R104" s="11">
        <f>1/400</f>
        <v>2.5000000000000001E-3</v>
      </c>
      <c r="S104" s="9">
        <f>1/0.04</f>
        <v>25</v>
      </c>
      <c r="T104" s="7">
        <f>(S104/3800)*100</f>
        <v>0.6578947368421052</v>
      </c>
      <c r="U104" s="7">
        <f>(1/152)*100</f>
        <v>0.6578947368421052</v>
      </c>
      <c r="V104" s="7">
        <f>(P104/SUM(P102:P104))*100</f>
        <v>0.30301271071323432</v>
      </c>
      <c r="W104" s="9">
        <f t="shared" si="24"/>
        <v>1.6188021843974447</v>
      </c>
      <c r="X104" s="7">
        <f t="shared" si="29"/>
        <v>5.3017499999999998E-5</v>
      </c>
      <c r="Y104" s="2">
        <v>0</v>
      </c>
      <c r="Z104" s="9">
        <v>0</v>
      </c>
      <c r="AA104" s="9">
        <v>0</v>
      </c>
      <c r="AB104" s="9">
        <f>AA104*10000</f>
        <v>0</v>
      </c>
      <c r="AC104" s="2" t="s">
        <v>51</v>
      </c>
    </row>
    <row r="105" spans="1:29" ht="15.75" customHeight="1" x14ac:dyDescent="0.25">
      <c r="A105" s="9">
        <v>26</v>
      </c>
      <c r="B105" s="2" t="s">
        <v>30</v>
      </c>
      <c r="C105" s="2" t="s">
        <v>48</v>
      </c>
      <c r="D105" s="2" t="s">
        <v>69</v>
      </c>
      <c r="E105" s="2" t="s">
        <v>48</v>
      </c>
      <c r="F105" s="2">
        <v>2017</v>
      </c>
      <c r="G105" s="5">
        <v>43021</v>
      </c>
      <c r="H105" s="5" t="s">
        <v>31</v>
      </c>
      <c r="I105" s="7">
        <v>23.355555555555558</v>
      </c>
      <c r="J105" s="7">
        <v>10.122389924211452</v>
      </c>
      <c r="K105" s="7">
        <v>12.888888888888889</v>
      </c>
      <c r="L105" s="7">
        <v>2.1473497877875216</v>
      </c>
      <c r="M105" s="7">
        <v>0.95555555555555571</v>
      </c>
      <c r="N105" s="7">
        <v>0.37785946829182099</v>
      </c>
      <c r="O105" s="7">
        <v>6.44</v>
      </c>
      <c r="P105" s="7">
        <v>0.44995880160000001</v>
      </c>
      <c r="Q105" s="7">
        <f t="shared" ref="Q105:Q113" si="32">P105/0.04</f>
        <v>11.24897004</v>
      </c>
      <c r="R105" s="11">
        <f>9/400</f>
        <v>2.2499999999999999E-2</v>
      </c>
      <c r="S105" s="9">
        <f>9/0.04</f>
        <v>225</v>
      </c>
      <c r="T105" s="7">
        <f>(S105/500)*100</f>
        <v>45</v>
      </c>
      <c r="U105" s="7">
        <f>(9/20)*100</f>
        <v>45</v>
      </c>
      <c r="V105" s="7">
        <f>(P105/SUM(P105:P106))*100</f>
        <v>52.784065938622028</v>
      </c>
      <c r="W105" s="9">
        <f t="shared" si="24"/>
        <v>142.78406593862204</v>
      </c>
      <c r="X105" s="7">
        <f t="shared" si="29"/>
        <v>3.2622013116000002</v>
      </c>
      <c r="Y105" s="2">
        <v>0</v>
      </c>
      <c r="Z105" s="8">
        <f>(2*100)/11</f>
        <v>18.181818181818183</v>
      </c>
      <c r="AA105" s="7">
        <f>14/4</f>
        <v>3.5</v>
      </c>
      <c r="AB105" s="9">
        <f t="shared" ref="AB105:AB110" si="33">AA105*10000</f>
        <v>35000</v>
      </c>
      <c r="AC105" s="2" t="s">
        <v>51</v>
      </c>
    </row>
    <row r="106" spans="1:29" ht="15.75" customHeight="1" x14ac:dyDescent="0.25">
      <c r="A106" s="9">
        <v>26</v>
      </c>
      <c r="B106" s="2" t="s">
        <v>30</v>
      </c>
      <c r="C106" s="2" t="s">
        <v>48</v>
      </c>
      <c r="D106" s="2" t="s">
        <v>69</v>
      </c>
      <c r="E106" s="2" t="s">
        <v>48</v>
      </c>
      <c r="F106" s="2">
        <v>2017</v>
      </c>
      <c r="G106" s="5">
        <v>43021</v>
      </c>
      <c r="H106" s="5" t="s">
        <v>36</v>
      </c>
      <c r="I106" s="7">
        <v>20.918181818181822</v>
      </c>
      <c r="J106" s="7">
        <v>5.580469188485524</v>
      </c>
      <c r="K106" s="7">
        <v>13.818181818181818</v>
      </c>
      <c r="L106" s="7">
        <v>1.7786613965666289</v>
      </c>
      <c r="M106" s="7">
        <v>0.85454545454545439</v>
      </c>
      <c r="N106" s="7">
        <v>0.30120968232656992</v>
      </c>
      <c r="O106" s="7">
        <v>5.86</v>
      </c>
      <c r="P106" s="7">
        <v>0.40249315259999996</v>
      </c>
      <c r="Q106" s="7">
        <f t="shared" si="32"/>
        <v>10.062328814999999</v>
      </c>
      <c r="R106" s="11">
        <f>11/400</f>
        <v>2.75E-2</v>
      </c>
      <c r="S106" s="9">
        <f>11/0.04</f>
        <v>275</v>
      </c>
      <c r="T106" s="7">
        <f>(S106/500)*100</f>
        <v>55.000000000000007</v>
      </c>
      <c r="U106" s="7">
        <f>(11/20)*100</f>
        <v>55.000000000000007</v>
      </c>
      <c r="V106" s="7">
        <f>(P106/SUM(P105:P106))*100</f>
        <v>47.215934061377972</v>
      </c>
      <c r="W106" s="9">
        <f t="shared" si="24"/>
        <v>157.21593406137799</v>
      </c>
      <c r="X106" s="7">
        <f t="shared" si="29"/>
        <v>3.8236849496999996</v>
      </c>
      <c r="Y106" s="2">
        <v>0</v>
      </c>
      <c r="Z106" s="8">
        <f>(2*100)/13</f>
        <v>15.384615384615385</v>
      </c>
      <c r="AA106" s="9">
        <v>0</v>
      </c>
      <c r="AB106" s="2">
        <f t="shared" si="33"/>
        <v>0</v>
      </c>
      <c r="AC106" s="2" t="s">
        <v>51</v>
      </c>
    </row>
    <row r="107" spans="1:29" ht="15.75" customHeight="1" x14ac:dyDescent="0.25">
      <c r="A107" s="9">
        <v>27</v>
      </c>
      <c r="B107" s="2" t="s">
        <v>30</v>
      </c>
      <c r="C107" s="2" t="s">
        <v>48</v>
      </c>
      <c r="D107" s="2" t="s">
        <v>70</v>
      </c>
      <c r="E107" s="2" t="s">
        <v>48</v>
      </c>
      <c r="F107" s="2">
        <v>2017</v>
      </c>
      <c r="G107" s="5">
        <v>43020</v>
      </c>
      <c r="H107" s="5" t="s">
        <v>31</v>
      </c>
      <c r="I107" s="7">
        <v>7.4333333333333336</v>
      </c>
      <c r="J107" s="7">
        <v>5.9557255365460451</v>
      </c>
      <c r="K107" s="7">
        <v>6.333333333333333</v>
      </c>
      <c r="L107" s="7">
        <v>4.9564772436345024</v>
      </c>
      <c r="M107" s="7">
        <v>0.96666666666666667</v>
      </c>
      <c r="N107" s="7">
        <v>0.67724933862401582</v>
      </c>
      <c r="O107" s="7">
        <v>1.92</v>
      </c>
      <c r="P107" s="7">
        <v>3.9967000000000003E-2</v>
      </c>
      <c r="Q107" s="7">
        <f t="shared" si="32"/>
        <v>0.99917500000000004</v>
      </c>
      <c r="R107" s="11">
        <f>6/400</f>
        <v>1.4999999999999999E-2</v>
      </c>
      <c r="S107" s="9">
        <f>6/0.04</f>
        <v>150</v>
      </c>
      <c r="T107" s="7">
        <f>(S107/5025)*100</f>
        <v>2.9850746268656714</v>
      </c>
      <c r="U107" s="7">
        <f>(6/201)*100</f>
        <v>2.9850746268656714</v>
      </c>
      <c r="V107" s="7">
        <f>(P107/SUM(P107:P108))*100</f>
        <v>2.0357497770286828</v>
      </c>
      <c r="W107" s="9">
        <f t="shared" si="24"/>
        <v>8.0058990307600251</v>
      </c>
      <c r="X107" s="7">
        <f t="shared" si="29"/>
        <v>9.4921624999999996E-2</v>
      </c>
      <c r="Y107" s="2">
        <v>0</v>
      </c>
      <c r="Z107" s="9">
        <v>0</v>
      </c>
      <c r="AA107" s="9">
        <v>0</v>
      </c>
      <c r="AB107" s="2">
        <f t="shared" si="33"/>
        <v>0</v>
      </c>
      <c r="AC107" s="2" t="s">
        <v>51</v>
      </c>
    </row>
    <row r="108" spans="1:29" ht="15.75" customHeight="1" x14ac:dyDescent="0.25">
      <c r="A108" s="9">
        <v>27</v>
      </c>
      <c r="B108" s="2" t="s">
        <v>30</v>
      </c>
      <c r="C108" s="2" t="s">
        <v>48</v>
      </c>
      <c r="D108" s="2" t="s">
        <v>70</v>
      </c>
      <c r="E108" s="2" t="s">
        <v>48</v>
      </c>
      <c r="F108" s="2">
        <v>2017</v>
      </c>
      <c r="G108" s="5">
        <v>43020</v>
      </c>
      <c r="H108" s="5" t="s">
        <v>36</v>
      </c>
      <c r="I108" s="7">
        <v>10.650256410256409</v>
      </c>
      <c r="J108" s="7">
        <v>3.4948913284725189</v>
      </c>
      <c r="K108" s="7">
        <v>11.363589743589744</v>
      </c>
      <c r="L108" s="7">
        <v>3.3372557149716191</v>
      </c>
      <c r="M108" s="7">
        <v>1.2874358974358973</v>
      </c>
      <c r="N108" s="7">
        <v>0.59087440860640605</v>
      </c>
      <c r="O108" s="7">
        <v>1.94</v>
      </c>
      <c r="P108" s="7">
        <v>1.9232899999999999</v>
      </c>
      <c r="Q108" s="7">
        <f t="shared" si="32"/>
        <v>48.082249999999995</v>
      </c>
      <c r="R108" s="11">
        <f>195/400</f>
        <v>0.48749999999999999</v>
      </c>
      <c r="S108" s="9">
        <f>195/0.04</f>
        <v>4875</v>
      </c>
      <c r="T108" s="7">
        <f>(S108/5025)*100</f>
        <v>97.014925373134332</v>
      </c>
      <c r="U108" s="7">
        <f>(195/201)*100</f>
        <v>97.014925373134332</v>
      </c>
      <c r="V108" s="7">
        <f>(P108/SUM(P107:P108))*100</f>
        <v>97.964250222971316</v>
      </c>
      <c r="W108" s="9">
        <f t="shared" si="24"/>
        <v>291.99410096923998</v>
      </c>
      <c r="X108" s="7">
        <f>1*S108*Q108*K108/10000</f>
        <v>266.36364443749994</v>
      </c>
      <c r="Y108" s="2">
        <v>0</v>
      </c>
      <c r="Z108" s="8">
        <f>(59*100)/254</f>
        <v>23.228346456692915</v>
      </c>
      <c r="AA108" s="9">
        <v>0</v>
      </c>
      <c r="AB108" s="2">
        <f t="shared" si="33"/>
        <v>0</v>
      </c>
      <c r="AC108" s="2" t="s">
        <v>51</v>
      </c>
    </row>
    <row r="109" spans="1:29" ht="15.75" customHeight="1" x14ac:dyDescent="0.25">
      <c r="A109" s="9">
        <v>28</v>
      </c>
      <c r="B109" s="2" t="s">
        <v>30</v>
      </c>
      <c r="C109" s="2" t="s">
        <v>48</v>
      </c>
      <c r="D109" s="2" t="s">
        <v>71</v>
      </c>
      <c r="E109" s="2" t="s">
        <v>48</v>
      </c>
      <c r="F109" s="2">
        <v>2017</v>
      </c>
      <c r="G109" s="5">
        <v>43034</v>
      </c>
      <c r="H109" s="5" t="s">
        <v>31</v>
      </c>
      <c r="I109" s="7">
        <v>19.360000000000003</v>
      </c>
      <c r="J109" s="7">
        <v>7.7661444745768149</v>
      </c>
      <c r="K109" s="7">
        <v>15.4</v>
      </c>
      <c r="L109" s="7">
        <v>2.6076809620810617</v>
      </c>
      <c r="M109" s="7">
        <v>1.04</v>
      </c>
      <c r="N109" s="7">
        <v>0.45607017003965516</v>
      </c>
      <c r="O109" s="15">
        <v>6.2</v>
      </c>
      <c r="P109" s="7">
        <v>0.16613600000000001</v>
      </c>
      <c r="Q109" s="7">
        <f t="shared" si="32"/>
        <v>4.1534000000000004</v>
      </c>
      <c r="R109" s="11">
        <f>5/400</f>
        <v>1.2500000000000001E-2</v>
      </c>
      <c r="S109" s="9">
        <f>5/0.04</f>
        <v>125</v>
      </c>
      <c r="T109" s="7">
        <f>(S109/1700)*100</f>
        <v>7.3529411764705888</v>
      </c>
      <c r="U109" s="7">
        <f>(5/68)*100</f>
        <v>7.3529411764705888</v>
      </c>
      <c r="V109" s="7">
        <f>(P109/SUM(P109:P110))*100</f>
        <v>29.046989628572828</v>
      </c>
      <c r="W109" s="9">
        <f t="shared" si="24"/>
        <v>43.752871981514005</v>
      </c>
      <c r="X109" s="7">
        <f t="shared" si="29"/>
        <v>0.79952950000000012</v>
      </c>
      <c r="Y109" s="2">
        <v>0</v>
      </c>
      <c r="Z109" s="9">
        <v>0</v>
      </c>
      <c r="AA109" s="9">
        <v>0</v>
      </c>
      <c r="AB109" s="2">
        <f t="shared" si="33"/>
        <v>0</v>
      </c>
      <c r="AC109" s="2" t="s">
        <v>51</v>
      </c>
    </row>
    <row r="110" spans="1:29" ht="15.75" customHeight="1" x14ac:dyDescent="0.25">
      <c r="A110" s="9">
        <v>28</v>
      </c>
      <c r="B110" s="2" t="s">
        <v>30</v>
      </c>
      <c r="C110" s="2" t="s">
        <v>48</v>
      </c>
      <c r="D110" s="2" t="s">
        <v>71</v>
      </c>
      <c r="E110" s="2" t="s">
        <v>48</v>
      </c>
      <c r="F110" s="2">
        <v>2017</v>
      </c>
      <c r="G110" s="5">
        <v>43034</v>
      </c>
      <c r="H110" s="5" t="s">
        <v>36</v>
      </c>
      <c r="I110" s="7">
        <v>8.62222222222222</v>
      </c>
      <c r="J110" s="7">
        <v>2.7925849075632194</v>
      </c>
      <c r="K110" s="7">
        <v>11.468253968253968</v>
      </c>
      <c r="L110" s="7">
        <v>2.7575015220552843</v>
      </c>
      <c r="M110" s="7">
        <v>0.7492063492063491</v>
      </c>
      <c r="N110" s="7">
        <v>0.24617920031699486</v>
      </c>
      <c r="O110" s="7">
        <v>3.19</v>
      </c>
      <c r="P110" s="7">
        <v>0.40582000000000001</v>
      </c>
      <c r="Q110" s="7">
        <f t="shared" si="32"/>
        <v>10.1455</v>
      </c>
      <c r="R110" s="11">
        <f>63/400</f>
        <v>0.1575</v>
      </c>
      <c r="S110" s="9">
        <f>63/0.04</f>
        <v>1575</v>
      </c>
      <c r="T110" s="7">
        <f>(S110/1700)*100</f>
        <v>92.64705882352942</v>
      </c>
      <c r="U110" s="7">
        <f>(63/68)*100</f>
        <v>92.64705882352942</v>
      </c>
      <c r="V110" s="7">
        <f>(P110/SUM(P109:P110))*100</f>
        <v>70.953010371427169</v>
      </c>
      <c r="W110" s="9">
        <f t="shared" si="24"/>
        <v>256.24712801848602</v>
      </c>
      <c r="X110" s="7">
        <f t="shared" si="29"/>
        <v>18.325309375</v>
      </c>
      <c r="Y110" s="2">
        <v>0</v>
      </c>
      <c r="Z110" s="8">
        <f>(8*100)/71</f>
        <v>11.267605633802816</v>
      </c>
      <c r="AA110" s="9">
        <f>64/4</f>
        <v>16</v>
      </c>
      <c r="AB110" s="2">
        <f t="shared" si="33"/>
        <v>160000</v>
      </c>
      <c r="AC110" s="2" t="s">
        <v>51</v>
      </c>
    </row>
    <row r="111" spans="1:29" ht="15.75" customHeight="1" x14ac:dyDescent="0.25">
      <c r="A111" s="9">
        <v>29</v>
      </c>
      <c r="B111" s="2" t="s">
        <v>30</v>
      </c>
      <c r="C111" s="2" t="s">
        <v>48</v>
      </c>
      <c r="D111" s="2" t="s">
        <v>49</v>
      </c>
      <c r="E111" s="2" t="s">
        <v>48</v>
      </c>
      <c r="F111" s="2">
        <v>2017</v>
      </c>
      <c r="G111" s="5">
        <v>43036</v>
      </c>
      <c r="H111" s="5" t="s">
        <v>31</v>
      </c>
      <c r="I111" s="7">
        <v>7.6499999999999995</v>
      </c>
      <c r="J111" s="7">
        <v>4.2915170562480363</v>
      </c>
      <c r="K111" s="7">
        <v>6.3416666666666668</v>
      </c>
      <c r="L111" s="7">
        <v>3.1575731759663026</v>
      </c>
      <c r="M111" s="7">
        <v>0.34766666666666668</v>
      </c>
      <c r="N111" s="7">
        <v>0.20119445578730014</v>
      </c>
      <c r="O111" s="7">
        <v>3.03</v>
      </c>
      <c r="P111" s="7">
        <v>0.36112377840000004</v>
      </c>
      <c r="Q111" s="7">
        <f t="shared" si="32"/>
        <v>9.0280944600000002</v>
      </c>
      <c r="R111" s="7">
        <f>60/400</f>
        <v>0.15</v>
      </c>
      <c r="S111" s="9">
        <f>60/0.04</f>
        <v>1500</v>
      </c>
      <c r="T111" s="9">
        <f>(S111/1500)*100</f>
        <v>100</v>
      </c>
      <c r="U111" s="9">
        <f>(60/60)*100</f>
        <v>100</v>
      </c>
      <c r="V111" s="9">
        <f>(P111/P111)*100</f>
        <v>100</v>
      </c>
      <c r="W111" s="9">
        <f t="shared" si="24"/>
        <v>300</v>
      </c>
      <c r="X111" s="7">
        <f t="shared" si="29"/>
        <v>8.5879748550750001</v>
      </c>
      <c r="Y111" s="2">
        <v>0</v>
      </c>
      <c r="Z111" s="9">
        <v>0</v>
      </c>
      <c r="AA111" s="9">
        <v>0</v>
      </c>
      <c r="AB111" s="2">
        <f t="shared" ref="AB111:AB113" si="34">AA111*10000</f>
        <v>0</v>
      </c>
      <c r="AC111" s="2" t="s">
        <v>51</v>
      </c>
    </row>
    <row r="112" spans="1:29" ht="15.75" customHeight="1" x14ac:dyDescent="0.25">
      <c r="A112" s="9">
        <v>30</v>
      </c>
      <c r="B112" s="2" t="s">
        <v>30</v>
      </c>
      <c r="C112" s="2" t="s">
        <v>48</v>
      </c>
      <c r="D112" s="2" t="s">
        <v>50</v>
      </c>
      <c r="E112" s="2" t="s">
        <v>48</v>
      </c>
      <c r="F112" s="2">
        <v>2017</v>
      </c>
      <c r="G112" s="5">
        <v>43027</v>
      </c>
      <c r="H112" s="5" t="s">
        <v>31</v>
      </c>
      <c r="I112" s="7">
        <v>15.603225806451613</v>
      </c>
      <c r="J112" s="7">
        <v>5.0223157919408523</v>
      </c>
      <c r="K112" s="7">
        <v>10.67741935483871</v>
      </c>
      <c r="L112" s="7">
        <v>3.5321107643465699</v>
      </c>
      <c r="M112" s="7">
        <v>0.82899999999999996</v>
      </c>
      <c r="N112" s="7">
        <v>0.35514649408105459</v>
      </c>
      <c r="O112" s="7">
        <v>4.62</v>
      </c>
      <c r="P112" s="7">
        <v>0.65219537459999977</v>
      </c>
      <c r="Q112" s="7">
        <f t="shared" si="32"/>
        <v>16.304884364999992</v>
      </c>
      <c r="R112" s="7">
        <f>31/400</f>
        <v>7.7499999999999999E-2</v>
      </c>
      <c r="S112" s="9">
        <f>31/0.04</f>
        <v>775</v>
      </c>
      <c r="T112" s="7">
        <f>(S112/825)*100</f>
        <v>93.939393939393938</v>
      </c>
      <c r="U112" s="7">
        <f>(31/33)*100</f>
        <v>93.939393939393938</v>
      </c>
      <c r="V112" s="7">
        <f>(P112/SUM(P112:P113))*100</f>
        <v>95.800530687586516</v>
      </c>
      <c r="W112" s="9">
        <f t="shared" si="24"/>
        <v>283.67931856637438</v>
      </c>
      <c r="X112" s="7">
        <f t="shared" si="29"/>
        <v>13.492291812037493</v>
      </c>
      <c r="Y112" s="2">
        <v>0</v>
      </c>
      <c r="Z112" s="8">
        <f>(3*100)/34</f>
        <v>8.8235294117647065</v>
      </c>
      <c r="AA112" s="9">
        <v>0</v>
      </c>
      <c r="AB112" s="2">
        <f t="shared" si="34"/>
        <v>0</v>
      </c>
      <c r="AC112" s="2" t="s">
        <v>51</v>
      </c>
    </row>
    <row r="113" spans="1:29" ht="15.75" customHeight="1" x14ac:dyDescent="0.25">
      <c r="A113" s="9">
        <v>30</v>
      </c>
      <c r="B113" s="2" t="s">
        <v>30</v>
      </c>
      <c r="C113" s="2" t="s">
        <v>48</v>
      </c>
      <c r="D113" s="2" t="s">
        <v>50</v>
      </c>
      <c r="E113" s="2" t="s">
        <v>48</v>
      </c>
      <c r="F113" s="2">
        <v>2017</v>
      </c>
      <c r="G113" s="5">
        <v>43027</v>
      </c>
      <c r="H113" s="5" t="s">
        <v>36</v>
      </c>
      <c r="I113" s="7">
        <v>13.45</v>
      </c>
      <c r="J113" s="7">
        <v>1.4849242404917495</v>
      </c>
      <c r="K113" s="7">
        <v>8.5</v>
      </c>
      <c r="L113" s="7">
        <v>0.70710678118654757</v>
      </c>
      <c r="M113" s="7">
        <v>0.5</v>
      </c>
      <c r="N113" s="7">
        <v>0.14142135623730956</v>
      </c>
      <c r="O113" s="7">
        <v>2.63</v>
      </c>
      <c r="P113" s="7">
        <v>2.8589345400000001E-2</v>
      </c>
      <c r="Q113" s="7">
        <f t="shared" si="32"/>
        <v>0.71473363499999998</v>
      </c>
      <c r="R113" s="7">
        <f>2/400</f>
        <v>5.0000000000000001E-3</v>
      </c>
      <c r="S113" s="9">
        <f>2/0.04</f>
        <v>50</v>
      </c>
      <c r="T113" s="7">
        <f>(S113/825)*100</f>
        <v>6.0606060606060606</v>
      </c>
      <c r="U113" s="7">
        <f>(2/33)*100</f>
        <v>6.0606060606060606</v>
      </c>
      <c r="V113" s="7">
        <f>(P113/SUM(P112:P113))*100</f>
        <v>4.1994693124134761</v>
      </c>
      <c r="W113" s="9">
        <f t="shared" si="24"/>
        <v>16.320681433625598</v>
      </c>
      <c r="X113" s="7">
        <f t="shared" si="29"/>
        <v>3.0376179487500002E-2</v>
      </c>
      <c r="Y113" s="2">
        <v>0</v>
      </c>
      <c r="Z113" s="8">
        <f>(0*100)/2</f>
        <v>0</v>
      </c>
      <c r="AA113" s="9">
        <v>0</v>
      </c>
      <c r="AB113" s="2">
        <f t="shared" si="34"/>
        <v>0</v>
      </c>
      <c r="AC113" s="2" t="s">
        <v>51</v>
      </c>
    </row>
    <row r="115" spans="1:29" x14ac:dyDescent="0.25">
      <c r="P115" s="7"/>
    </row>
  </sheetData>
  <pageMargins left="0.7" right="0.7" top="0.75" bottom="0.75" header="0.3" footer="0.3"/>
  <pageSetup orientation="portrait" r:id="rId1"/>
  <ignoredErrors>
    <ignoredError sqref="V110 V112:V113 V14:V15 V83:V84 V74:V76 V79:V80 V65 V69:V70 V66:V68 V71:V73 V77:V78 V81:V82 V85:V87 V88:V102 V103:V105 V38:V63 V33:V35 V31 V32 V23 V21 V24:V26 V30 V18 V27:V29 V36:V37 V64" formulaRange="1"/>
    <ignoredError sqref="V106 V108:V109 V107 V22 V19" formula="1" formulaRange="1"/>
    <ignoredError sqref="R6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 de citar</vt:lpstr>
      <vt:lpstr>Resumen_estructural</vt:lpstr>
    </vt:vector>
  </TitlesOfParts>
  <Company>CONABIO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Francisco Guzmán Mérida</cp:lastModifiedBy>
  <dcterms:created xsi:type="dcterms:W3CDTF">2013-01-14T19:07:59Z</dcterms:created>
  <dcterms:modified xsi:type="dcterms:W3CDTF">2019-06-24T16:24:54Z</dcterms:modified>
</cp:coreProperties>
</file>